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X:\統計担当\統計書\令和06年版\02_統計書作成\"/>
    </mc:Choice>
  </mc:AlternateContent>
  <xr:revisionPtr revIDLastSave="0" documentId="13_ncr:1_{058CA1FB-5074-48BB-A6AB-23C041DBC97C}" xr6:coauthVersionLast="47" xr6:coauthVersionMax="47" xr10:uidLastSave="{00000000-0000-0000-0000-000000000000}"/>
  <bookViews>
    <workbookView xWindow="-19310" yWindow="960" windowWidth="19420" windowHeight="10300" tabRatio="324" xr2:uid="{00000000-000D-0000-FFFF-FFFF00000000}"/>
  </bookViews>
  <sheets>
    <sheet name="109~113" sheetId="5" r:id="rId1"/>
  </sheets>
  <definedNames>
    <definedName name="_xlnm.Print_Area" localSheetId="0">'109~113'!$A$1:$Y$65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3" i="5" l="1"/>
  <c r="H62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8" i="5"/>
  <c r="H47" i="5"/>
  <c r="H46" i="5"/>
  <c r="H45" i="5"/>
  <c r="H44" i="5"/>
  <c r="G52" i="5"/>
  <c r="G45" i="5"/>
  <c r="G46" i="5"/>
  <c r="G47" i="5"/>
  <c r="G48" i="5"/>
  <c r="G49" i="5"/>
  <c r="G50" i="5"/>
  <c r="G51" i="5"/>
  <c r="G53" i="5"/>
  <c r="G54" i="5"/>
  <c r="G55" i="5"/>
  <c r="G56" i="5"/>
  <c r="G57" i="5"/>
  <c r="G58" i="5"/>
  <c r="G59" i="5"/>
  <c r="G60" i="5"/>
  <c r="G61" i="5"/>
  <c r="G62" i="5"/>
  <c r="G44" i="5"/>
  <c r="X36" i="5"/>
  <c r="X35" i="5"/>
  <c r="X34" i="5"/>
  <c r="Q34" i="5"/>
  <c r="W35" i="5"/>
  <c r="W36" i="5"/>
  <c r="W34" i="5"/>
  <c r="P34" i="5"/>
  <c r="X26" i="5"/>
  <c r="X25" i="5"/>
  <c r="X24" i="5"/>
  <c r="X23" i="5"/>
  <c r="X22" i="5"/>
  <c r="X21" i="5"/>
  <c r="X20" i="5"/>
  <c r="X19" i="5"/>
  <c r="X18" i="5"/>
  <c r="X17" i="5"/>
  <c r="X16" i="5"/>
  <c r="X15" i="5"/>
  <c r="X14" i="5"/>
  <c r="X13" i="5"/>
  <c r="X12" i="5"/>
  <c r="X11" i="5"/>
  <c r="X10" i="5"/>
  <c r="X9" i="5"/>
  <c r="X8" i="5"/>
  <c r="Q8" i="5"/>
  <c r="W9" i="5"/>
  <c r="W10" i="5"/>
  <c r="W11" i="5"/>
  <c r="W12" i="5"/>
  <c r="W13" i="5"/>
  <c r="W14" i="5"/>
  <c r="W15" i="5"/>
  <c r="W16" i="5"/>
  <c r="W17" i="5"/>
  <c r="W18" i="5"/>
  <c r="W19" i="5"/>
  <c r="W20" i="5"/>
  <c r="W21" i="5"/>
  <c r="W22" i="5"/>
  <c r="W23" i="5"/>
  <c r="W24" i="5"/>
  <c r="W25" i="5"/>
  <c r="W8" i="5"/>
  <c r="W26" i="5" s="1"/>
  <c r="Q36" i="5"/>
  <c r="Q35" i="5"/>
  <c r="Q25" i="5"/>
  <c r="Q24" i="5"/>
  <c r="Q23" i="5"/>
  <c r="Q22" i="5"/>
  <c r="Q21" i="5"/>
  <c r="Q20" i="5"/>
  <c r="Q19" i="5"/>
  <c r="Q18" i="5"/>
  <c r="Q17" i="5"/>
  <c r="Q16" i="5"/>
  <c r="Q15" i="5"/>
  <c r="Q14" i="5"/>
  <c r="Q13" i="5"/>
  <c r="Q12" i="5"/>
  <c r="Q11" i="5"/>
  <c r="Q10" i="5"/>
  <c r="Q9" i="5"/>
  <c r="P35" i="5"/>
  <c r="P36" i="5"/>
  <c r="Y1" i="5"/>
  <c r="O26" i="5" l="1"/>
  <c r="P11" i="5" l="1"/>
  <c r="P12" i="5"/>
  <c r="Q26" i="5"/>
  <c r="P14" i="5"/>
  <c r="P9" i="5"/>
  <c r="P15" i="5"/>
  <c r="P16" i="5"/>
  <c r="P17" i="5"/>
  <c r="P13" i="5"/>
  <c r="P25" i="5"/>
  <c r="P18" i="5"/>
  <c r="P19" i="5"/>
  <c r="P20" i="5"/>
  <c r="P21" i="5"/>
  <c r="P22" i="5"/>
  <c r="P23" i="5"/>
  <c r="P24" i="5"/>
  <c r="P8" i="5"/>
  <c r="P10" i="5"/>
  <c r="P26" i="5" l="1"/>
</calcChain>
</file>

<file path=xl/sharedStrings.xml><?xml version="1.0" encoding="utf-8"?>
<sst xmlns="http://schemas.openxmlformats.org/spreadsheetml/2006/main" count="139" uniqueCount="93">
  <si>
    <t>産業（大分類）</t>
    <rPh sb="0" eb="2">
      <t>サンギョウ</t>
    </rPh>
    <rPh sb="3" eb="6">
      <t>ダイブンルイ</t>
    </rPh>
    <phoneticPr fontId="1"/>
  </si>
  <si>
    <t>農業</t>
    <rPh sb="0" eb="2">
      <t>ノウギョウ</t>
    </rPh>
    <phoneticPr fontId="1"/>
  </si>
  <si>
    <t>林業</t>
    <rPh sb="0" eb="2">
      <t>リンギョウ</t>
    </rPh>
    <phoneticPr fontId="1"/>
  </si>
  <si>
    <t>水産業</t>
    <rPh sb="0" eb="3">
      <t>スイサンギョウ</t>
    </rPh>
    <phoneticPr fontId="1"/>
  </si>
  <si>
    <t>鉱業</t>
    <rPh sb="0" eb="2">
      <t>コウギョウ</t>
    </rPh>
    <phoneticPr fontId="1"/>
  </si>
  <si>
    <t>製造業</t>
    <rPh sb="0" eb="3">
      <t>セイゾウギョウ</t>
    </rPh>
    <phoneticPr fontId="1"/>
  </si>
  <si>
    <t>電気・ガス・水道・廃棄物処理業</t>
    <rPh sb="0" eb="2">
      <t>デンキ</t>
    </rPh>
    <rPh sb="6" eb="8">
      <t>スイドウ</t>
    </rPh>
    <rPh sb="9" eb="12">
      <t>ハイキブツ</t>
    </rPh>
    <rPh sb="12" eb="15">
      <t>ショリギョウ</t>
    </rPh>
    <phoneticPr fontId="1"/>
  </si>
  <si>
    <t>建設業</t>
    <rPh sb="0" eb="2">
      <t>ケンセツ</t>
    </rPh>
    <rPh sb="2" eb="3">
      <t>ギョウ</t>
    </rPh>
    <phoneticPr fontId="1"/>
  </si>
  <si>
    <t>卸売・小売業</t>
    <rPh sb="0" eb="2">
      <t>オロシウ</t>
    </rPh>
    <rPh sb="3" eb="6">
      <t>コウリギョウ</t>
    </rPh>
    <phoneticPr fontId="1"/>
  </si>
  <si>
    <t>運輸・郵便業</t>
    <rPh sb="0" eb="2">
      <t>ウンユ</t>
    </rPh>
    <rPh sb="3" eb="6">
      <t>ユウビンギョウ</t>
    </rPh>
    <phoneticPr fontId="1"/>
  </si>
  <si>
    <t>宿泊・飲食サービス業</t>
    <rPh sb="0" eb="2">
      <t>シュクハク</t>
    </rPh>
    <rPh sb="3" eb="5">
      <t>インショク</t>
    </rPh>
    <rPh sb="9" eb="10">
      <t>ギョウ</t>
    </rPh>
    <phoneticPr fontId="1"/>
  </si>
  <si>
    <t>情報通信業</t>
    <rPh sb="0" eb="5">
      <t>ジョウホウツウシンギョウ</t>
    </rPh>
    <phoneticPr fontId="1"/>
  </si>
  <si>
    <t>金融・保険業</t>
    <rPh sb="0" eb="2">
      <t>キンユウ</t>
    </rPh>
    <rPh sb="3" eb="6">
      <t>ホケンギョウ</t>
    </rPh>
    <phoneticPr fontId="1"/>
  </si>
  <si>
    <t>専門・科学技術、業務支援サービス業</t>
    <rPh sb="0" eb="2">
      <t>センモン</t>
    </rPh>
    <rPh sb="3" eb="7">
      <t>カガクギジュツ</t>
    </rPh>
    <rPh sb="8" eb="12">
      <t>ギョウムシエン</t>
    </rPh>
    <rPh sb="16" eb="17">
      <t>ギョウ</t>
    </rPh>
    <phoneticPr fontId="1"/>
  </si>
  <si>
    <t>公務</t>
    <rPh sb="0" eb="2">
      <t>コウム</t>
    </rPh>
    <phoneticPr fontId="1"/>
  </si>
  <si>
    <t>教育</t>
    <rPh sb="0" eb="2">
      <t>キョウイク</t>
    </rPh>
    <phoneticPr fontId="1"/>
  </si>
  <si>
    <t>保健衛生・社会事業</t>
    <rPh sb="0" eb="4">
      <t>ホケンエイセイ</t>
    </rPh>
    <rPh sb="5" eb="9">
      <t>シャカイジギョウ</t>
    </rPh>
    <phoneticPr fontId="1"/>
  </si>
  <si>
    <t>その他のサービス</t>
    <rPh sb="2" eb="3">
      <t>タ</t>
    </rPh>
    <phoneticPr fontId="1"/>
  </si>
  <si>
    <t>資料：県統計分析課「市町民経済計算　経済活動別市町内総生産」</t>
    <rPh sb="0" eb="2">
      <t>シリョウ</t>
    </rPh>
    <rPh sb="3" eb="4">
      <t>ケン</t>
    </rPh>
    <rPh sb="4" eb="6">
      <t>トウケイ</t>
    </rPh>
    <rPh sb="6" eb="8">
      <t>ブンセキ</t>
    </rPh>
    <rPh sb="8" eb="9">
      <t>カ</t>
    </rPh>
    <rPh sb="10" eb="11">
      <t>シ</t>
    </rPh>
    <rPh sb="11" eb="12">
      <t>マチ</t>
    </rPh>
    <rPh sb="12" eb="13">
      <t>ミン</t>
    </rPh>
    <rPh sb="13" eb="15">
      <t>ケイザイ</t>
    </rPh>
    <rPh sb="15" eb="17">
      <t>ケイサン</t>
    </rPh>
    <rPh sb="18" eb="20">
      <t>ケイザイ</t>
    </rPh>
    <rPh sb="20" eb="22">
      <t>カツドウ</t>
    </rPh>
    <rPh sb="22" eb="23">
      <t>ベツ</t>
    </rPh>
    <rPh sb="23" eb="24">
      <t>シ</t>
    </rPh>
    <rPh sb="24" eb="25">
      <t>マチ</t>
    </rPh>
    <rPh sb="25" eb="26">
      <t>ナイ</t>
    </rPh>
    <rPh sb="26" eb="29">
      <t>ソウセイサン</t>
    </rPh>
    <phoneticPr fontId="1"/>
  </si>
  <si>
    <t>輸入品に課される税・関税</t>
    <rPh sb="0" eb="3">
      <t>ユニュウヒン</t>
    </rPh>
    <rPh sb="4" eb="5">
      <t>カ</t>
    </rPh>
    <rPh sb="8" eb="9">
      <t>ゼイ</t>
    </rPh>
    <rPh sb="10" eb="12">
      <t>カンゼイ</t>
    </rPh>
    <phoneticPr fontId="1"/>
  </si>
  <si>
    <t>（控除）総資本形成に係る消費税</t>
    <rPh sb="1" eb="3">
      <t>コウジョ</t>
    </rPh>
    <rPh sb="4" eb="9">
      <t>ソウシホンケイセイ</t>
    </rPh>
    <rPh sb="10" eb="11">
      <t>カカ</t>
    </rPh>
    <rPh sb="12" eb="15">
      <t>ショウヒゼイ</t>
    </rPh>
    <phoneticPr fontId="1"/>
  </si>
  <si>
    <t>市内総生産</t>
    <rPh sb="0" eb="5">
      <t>シナイソウセイサン</t>
    </rPh>
    <phoneticPr fontId="1"/>
  </si>
  <si>
    <t>（参考）</t>
    <rPh sb="1" eb="3">
      <t>サンコウ</t>
    </rPh>
    <phoneticPr fontId="1"/>
  </si>
  <si>
    <t>第一次産業</t>
    <rPh sb="0" eb="1">
      <t>ダイ</t>
    </rPh>
    <rPh sb="1" eb="5">
      <t>イチジサンギョウ</t>
    </rPh>
    <phoneticPr fontId="1"/>
  </si>
  <si>
    <t>第二次産業</t>
    <rPh sb="0" eb="5">
      <t>ダイニジサンギョウ</t>
    </rPh>
    <phoneticPr fontId="1"/>
  </si>
  <si>
    <t>第三次産業</t>
    <rPh sb="0" eb="3">
      <t>ダイサンジ</t>
    </rPh>
    <rPh sb="3" eb="5">
      <t>サンギョウ</t>
    </rPh>
    <phoneticPr fontId="1"/>
  </si>
  <si>
    <t>資料：県統計分析課「市町民経済計算　経済活動別市町内要素所得（純生産）」</t>
    <rPh sb="0" eb="2">
      <t>シリョウ</t>
    </rPh>
    <rPh sb="3" eb="4">
      <t>ケン</t>
    </rPh>
    <rPh sb="4" eb="6">
      <t>トウケイ</t>
    </rPh>
    <rPh sb="6" eb="8">
      <t>ブンセキ</t>
    </rPh>
    <rPh sb="8" eb="9">
      <t>カ</t>
    </rPh>
    <rPh sb="10" eb="11">
      <t>シ</t>
    </rPh>
    <rPh sb="11" eb="12">
      <t>マチ</t>
    </rPh>
    <rPh sb="12" eb="13">
      <t>ミン</t>
    </rPh>
    <rPh sb="13" eb="15">
      <t>ケイザイ</t>
    </rPh>
    <rPh sb="15" eb="17">
      <t>ケイサン</t>
    </rPh>
    <rPh sb="18" eb="20">
      <t>ケイザイ</t>
    </rPh>
    <rPh sb="20" eb="22">
      <t>カツドウ</t>
    </rPh>
    <rPh sb="22" eb="23">
      <t>ベツ</t>
    </rPh>
    <rPh sb="23" eb="24">
      <t>シ</t>
    </rPh>
    <rPh sb="24" eb="25">
      <t>マチ</t>
    </rPh>
    <rPh sb="25" eb="26">
      <t>ナイ</t>
    </rPh>
    <rPh sb="26" eb="28">
      <t>ヨウソ</t>
    </rPh>
    <rPh sb="28" eb="30">
      <t>ショトク</t>
    </rPh>
    <rPh sb="31" eb="32">
      <t>ジュン</t>
    </rPh>
    <rPh sb="32" eb="34">
      <t>セイサン</t>
    </rPh>
    <phoneticPr fontId="1"/>
  </si>
  <si>
    <t>区分</t>
    <rPh sb="0" eb="2">
      <t>クブン</t>
    </rPh>
    <phoneticPr fontId="1"/>
  </si>
  <si>
    <t>雇用者報酬</t>
    <rPh sb="0" eb="3">
      <t>コヨウシャ</t>
    </rPh>
    <rPh sb="3" eb="5">
      <t>ホウシュウ</t>
    </rPh>
    <phoneticPr fontId="1"/>
  </si>
  <si>
    <t>賃金・俸給</t>
    <rPh sb="0" eb="2">
      <t>チンギン</t>
    </rPh>
    <rPh sb="3" eb="5">
      <t>ホウキュウ</t>
    </rPh>
    <phoneticPr fontId="1"/>
  </si>
  <si>
    <t>雇主の現実社会負担</t>
    <rPh sb="0" eb="2">
      <t>ヤトイヌシ</t>
    </rPh>
    <rPh sb="3" eb="5">
      <t>ゲンジツ</t>
    </rPh>
    <rPh sb="5" eb="9">
      <t>シャカイフタン</t>
    </rPh>
    <phoneticPr fontId="1"/>
  </si>
  <si>
    <t>雇主の帰属社会負担</t>
    <rPh sb="0" eb="2">
      <t>ヤトイヌシ</t>
    </rPh>
    <rPh sb="3" eb="5">
      <t>キゾク</t>
    </rPh>
    <rPh sb="5" eb="9">
      <t>シャカイフタン</t>
    </rPh>
    <phoneticPr fontId="1"/>
  </si>
  <si>
    <t>財産所得</t>
    <rPh sb="0" eb="2">
      <t>ザイサン</t>
    </rPh>
    <rPh sb="2" eb="4">
      <t>ショトク</t>
    </rPh>
    <phoneticPr fontId="1"/>
  </si>
  <si>
    <t>家計</t>
    <rPh sb="0" eb="2">
      <t>カケイ</t>
    </rPh>
    <phoneticPr fontId="1"/>
  </si>
  <si>
    <t>配当</t>
    <rPh sb="0" eb="2">
      <t>ハイトウ</t>
    </rPh>
    <phoneticPr fontId="1"/>
  </si>
  <si>
    <t>利子</t>
    <rPh sb="0" eb="2">
      <t>リシ</t>
    </rPh>
    <phoneticPr fontId="1"/>
  </si>
  <si>
    <t>その他の投資所得</t>
    <rPh sb="2" eb="3">
      <t>タ</t>
    </rPh>
    <rPh sb="4" eb="8">
      <t>トウシショトク</t>
    </rPh>
    <phoneticPr fontId="1"/>
  </si>
  <si>
    <t>賃貸料</t>
    <rPh sb="0" eb="3">
      <t>チンタイリョウ</t>
    </rPh>
    <phoneticPr fontId="1"/>
  </si>
  <si>
    <t>対家計民間非営利団体</t>
    <rPh sb="0" eb="1">
      <t>タイ</t>
    </rPh>
    <rPh sb="1" eb="5">
      <t>カケイミンカン</t>
    </rPh>
    <rPh sb="5" eb="10">
      <t>ヒエイリダンタイ</t>
    </rPh>
    <phoneticPr fontId="1"/>
  </si>
  <si>
    <t>民間法人企業</t>
    <rPh sb="0" eb="6">
      <t>ミンカンホウジンキギョウ</t>
    </rPh>
    <phoneticPr fontId="1"/>
  </si>
  <si>
    <t>公的企業</t>
    <rPh sb="0" eb="4">
      <t>コウテキキギョウ</t>
    </rPh>
    <phoneticPr fontId="1"/>
  </si>
  <si>
    <t>個人企業</t>
    <rPh sb="0" eb="4">
      <t>コジンキギョウ</t>
    </rPh>
    <phoneticPr fontId="1"/>
  </si>
  <si>
    <t>農林水産業</t>
    <rPh sb="0" eb="2">
      <t>ノウリン</t>
    </rPh>
    <rPh sb="2" eb="5">
      <t>スイサンギョウ</t>
    </rPh>
    <phoneticPr fontId="1"/>
  </si>
  <si>
    <t>その他の産業</t>
    <rPh sb="2" eb="3">
      <t>タ</t>
    </rPh>
    <rPh sb="4" eb="6">
      <t>サンギョウ</t>
    </rPh>
    <phoneticPr fontId="1"/>
  </si>
  <si>
    <t>持ち家</t>
    <rPh sb="0" eb="1">
      <t>モ</t>
    </rPh>
    <rPh sb="2" eb="3">
      <t>イエ</t>
    </rPh>
    <phoneticPr fontId="1"/>
  </si>
  <si>
    <t>市民所得</t>
    <rPh sb="0" eb="4">
      <t>シミンショトク</t>
    </rPh>
    <phoneticPr fontId="1"/>
  </si>
  <si>
    <t>資料：県統計分析課「市町民経済計算　市町民所得（分配）」</t>
    <rPh sb="0" eb="2">
      <t>シリョウ</t>
    </rPh>
    <rPh sb="3" eb="4">
      <t>ケン</t>
    </rPh>
    <rPh sb="4" eb="6">
      <t>トウケイ</t>
    </rPh>
    <rPh sb="6" eb="8">
      <t>ブンセキ</t>
    </rPh>
    <rPh sb="8" eb="9">
      <t>カ</t>
    </rPh>
    <rPh sb="10" eb="11">
      <t>シ</t>
    </rPh>
    <rPh sb="11" eb="12">
      <t>マチ</t>
    </rPh>
    <rPh sb="12" eb="13">
      <t>ミン</t>
    </rPh>
    <rPh sb="13" eb="15">
      <t>ケイザイ</t>
    </rPh>
    <rPh sb="15" eb="17">
      <t>ケイサン</t>
    </rPh>
    <rPh sb="18" eb="19">
      <t>シ</t>
    </rPh>
    <rPh sb="19" eb="20">
      <t>マチ</t>
    </rPh>
    <rPh sb="20" eb="21">
      <t>ミン</t>
    </rPh>
    <rPh sb="21" eb="23">
      <t>ショトク</t>
    </rPh>
    <rPh sb="24" eb="26">
      <t>ブンパイ</t>
    </rPh>
    <phoneticPr fontId="1"/>
  </si>
  <si>
    <t>企業所得（企業部門の第１次所得バランス）</t>
    <rPh sb="0" eb="4">
      <t>キギョウショトク</t>
    </rPh>
    <phoneticPr fontId="1"/>
  </si>
  <si>
    <t>人口</t>
    <rPh sb="0" eb="2">
      <t>ジンコウ</t>
    </rPh>
    <phoneticPr fontId="1"/>
  </si>
  <si>
    <t>土地面積</t>
    <rPh sb="0" eb="4">
      <t>トチメンセキ</t>
    </rPh>
    <phoneticPr fontId="1"/>
  </si>
  <si>
    <t>市民所得（分配）水準（人口１人当たり）</t>
    <rPh sb="0" eb="4">
      <t>シミンショトク</t>
    </rPh>
    <rPh sb="5" eb="7">
      <t>ブンパイ</t>
    </rPh>
    <rPh sb="8" eb="10">
      <t>スイジュン</t>
    </rPh>
    <rPh sb="11" eb="13">
      <t>ジンコウ</t>
    </rPh>
    <rPh sb="14" eb="15">
      <t>ニン</t>
    </rPh>
    <rPh sb="15" eb="16">
      <t>ア</t>
    </rPh>
    <phoneticPr fontId="1"/>
  </si>
  <si>
    <t>実数（百万円）</t>
    <rPh sb="0" eb="2">
      <t>ジッスウ</t>
    </rPh>
    <rPh sb="3" eb="6">
      <t>ヒャクマンエン</t>
    </rPh>
    <phoneticPr fontId="1"/>
  </si>
  <si>
    <t>構成比（％）</t>
    <rPh sb="0" eb="3">
      <t>コウセイヒ</t>
    </rPh>
    <phoneticPr fontId="1"/>
  </si>
  <si>
    <t>全県比（％）</t>
    <rPh sb="0" eb="3">
      <t>ゼンケンヒ</t>
    </rPh>
    <phoneticPr fontId="1"/>
  </si>
  <si>
    <t>不動産業</t>
    <rPh sb="0" eb="3">
      <t>フドウサン</t>
    </rPh>
    <rPh sb="3" eb="4">
      <t>ギョウ</t>
    </rPh>
    <phoneticPr fontId="1"/>
  </si>
  <si>
    <t>市内純生産</t>
    <rPh sb="0" eb="2">
      <t>シナイ</t>
    </rPh>
    <rPh sb="2" eb="3">
      <t>ジュン</t>
    </rPh>
    <rPh sb="3" eb="5">
      <t>セイサン</t>
    </rPh>
    <phoneticPr fontId="1"/>
  </si>
  <si>
    <t>実数</t>
    <rPh sb="0" eb="2">
      <t>ジッスウ</t>
    </rPh>
    <phoneticPr fontId="1"/>
  </si>
  <si>
    <t>人</t>
    <rPh sb="0" eb="1">
      <t>ニン</t>
    </rPh>
    <phoneticPr fontId="1"/>
  </si>
  <si>
    <t>㎢</t>
    <phoneticPr fontId="1"/>
  </si>
  <si>
    <t>百万円</t>
    <rPh sb="0" eb="3">
      <t>ヒャクマンエン</t>
    </rPh>
    <phoneticPr fontId="1"/>
  </si>
  <si>
    <t>千円</t>
    <rPh sb="0" eb="2">
      <t>センエン</t>
    </rPh>
    <phoneticPr fontId="1"/>
  </si>
  <si>
    <t>資料：県統計分析課「市町民経済計算　関連指標」</t>
    <rPh sb="0" eb="2">
      <t>シリョウ</t>
    </rPh>
    <rPh sb="3" eb="4">
      <t>ケン</t>
    </rPh>
    <rPh sb="4" eb="6">
      <t>トウケイ</t>
    </rPh>
    <rPh sb="6" eb="8">
      <t>ブンセキ</t>
    </rPh>
    <rPh sb="8" eb="9">
      <t>カ</t>
    </rPh>
    <rPh sb="10" eb="11">
      <t>シ</t>
    </rPh>
    <rPh sb="11" eb="12">
      <t>マチ</t>
    </rPh>
    <rPh sb="12" eb="13">
      <t>ミン</t>
    </rPh>
    <rPh sb="13" eb="15">
      <t>ケイザイ</t>
    </rPh>
    <rPh sb="15" eb="17">
      <t>ケイサン</t>
    </rPh>
    <rPh sb="18" eb="20">
      <t>カンレン</t>
    </rPh>
    <rPh sb="20" eb="22">
      <t>シヒョウ</t>
    </rPh>
    <phoneticPr fontId="1"/>
  </si>
  <si>
    <t>全県比（％）</t>
    <rPh sb="0" eb="2">
      <t>ゼンケン</t>
    </rPh>
    <rPh sb="2" eb="3">
      <t>ヒ</t>
    </rPh>
    <phoneticPr fontId="1"/>
  </si>
  <si>
    <t>県平均との比較</t>
    <rPh sb="0" eb="1">
      <t>ケン</t>
    </rPh>
    <rPh sb="1" eb="3">
      <t>ヘイキン</t>
    </rPh>
    <rPh sb="5" eb="7">
      <t>ヒカク</t>
    </rPh>
    <phoneticPr fontId="1"/>
  </si>
  <si>
    <t>人口密度（１㎢当たり人口）</t>
    <rPh sb="0" eb="4">
      <t>ジンコウミツド</t>
    </rPh>
    <rPh sb="7" eb="8">
      <t>ア</t>
    </rPh>
    <rPh sb="10" eb="12">
      <t>ジンコウ</t>
    </rPh>
    <phoneticPr fontId="1"/>
  </si>
  <si>
    <t>１㎢当たり総生産</t>
    <rPh sb="5" eb="8">
      <t>ソウセイサン</t>
    </rPh>
    <phoneticPr fontId="1"/>
  </si>
  <si>
    <t>注）人口は「山口県人口移動統計調査報告書」（県統計分析課）、土地面積は「全国都道府県市区町村別面積調」（国土交通省国土地理院）</t>
    <rPh sb="0" eb="1">
      <t>チュウ</t>
    </rPh>
    <rPh sb="2" eb="4">
      <t>ジンコウ</t>
    </rPh>
    <rPh sb="6" eb="9">
      <t>ヤマグチケン</t>
    </rPh>
    <rPh sb="9" eb="11">
      <t>ジンコウ</t>
    </rPh>
    <rPh sb="11" eb="13">
      <t>イドウ</t>
    </rPh>
    <rPh sb="13" eb="15">
      <t>トウケイ</t>
    </rPh>
    <rPh sb="15" eb="17">
      <t>チョウサ</t>
    </rPh>
    <rPh sb="17" eb="20">
      <t>ホウコクショ</t>
    </rPh>
    <rPh sb="22" eb="23">
      <t>ケン</t>
    </rPh>
    <rPh sb="23" eb="25">
      <t>トウケイ</t>
    </rPh>
    <rPh sb="25" eb="27">
      <t>ブンセキ</t>
    </rPh>
    <rPh sb="27" eb="28">
      <t>カ</t>
    </rPh>
    <rPh sb="30" eb="32">
      <t>トチ</t>
    </rPh>
    <rPh sb="32" eb="34">
      <t>メンセキ</t>
    </rPh>
    <rPh sb="36" eb="38">
      <t>ゼンコク</t>
    </rPh>
    <rPh sb="38" eb="42">
      <t>トドウフケン</t>
    </rPh>
    <rPh sb="42" eb="44">
      <t>シク</t>
    </rPh>
    <rPh sb="44" eb="46">
      <t>チョウソン</t>
    </rPh>
    <rPh sb="46" eb="47">
      <t>ベツ</t>
    </rPh>
    <rPh sb="47" eb="49">
      <t>メンセキ</t>
    </rPh>
    <rPh sb="49" eb="50">
      <t>シラ</t>
    </rPh>
    <rPh sb="52" eb="54">
      <t>コクド</t>
    </rPh>
    <rPh sb="54" eb="57">
      <t>コウツウショウ</t>
    </rPh>
    <rPh sb="57" eb="59">
      <t>コクド</t>
    </rPh>
    <rPh sb="59" eb="61">
      <t>チリ</t>
    </rPh>
    <rPh sb="61" eb="62">
      <t>イン</t>
    </rPh>
    <phoneticPr fontId="1"/>
  </si>
  <si>
    <r>
      <rPr>
        <sz val="10"/>
        <color theme="0"/>
        <rFont val="BIZ UD明朝 Medium"/>
        <family val="1"/>
        <charset val="128"/>
      </rPr>
      <t>注）</t>
    </r>
    <r>
      <rPr>
        <sz val="10"/>
        <color theme="1"/>
        <rFont val="BIZ UD明朝 Medium"/>
        <family val="1"/>
        <charset val="128"/>
      </rPr>
      <t>による（いずれも10月１日現在）。</t>
    </r>
    <rPh sb="0" eb="1">
      <t>チュウ</t>
    </rPh>
    <rPh sb="12" eb="13">
      <t>ガツ</t>
    </rPh>
    <rPh sb="14" eb="15">
      <t>ニチ</t>
    </rPh>
    <rPh sb="15" eb="17">
      <t>ゲンザイ</t>
    </rPh>
    <phoneticPr fontId="1"/>
  </si>
  <si>
    <r>
      <rPr>
        <sz val="10"/>
        <color theme="0"/>
        <rFont val="BIZ UD明朝 Medium"/>
        <family val="1"/>
        <charset val="128"/>
      </rPr>
      <t>注）</t>
    </r>
    <r>
      <rPr>
        <sz val="10"/>
        <color theme="1"/>
        <rFont val="BIZ UD明朝 Medium"/>
        <family val="1"/>
        <charset val="128"/>
      </rPr>
      <t>「県平均との比較」では、県平均を100として各市町及び地域の水準を指数化している。</t>
    </r>
    <rPh sb="0" eb="1">
      <t>チュウ</t>
    </rPh>
    <rPh sb="3" eb="4">
      <t>ケン</t>
    </rPh>
    <rPh sb="4" eb="6">
      <t>ヘイキン</t>
    </rPh>
    <rPh sb="8" eb="10">
      <t>ヒカク</t>
    </rPh>
    <rPh sb="14" eb="15">
      <t>ケン</t>
    </rPh>
    <rPh sb="15" eb="17">
      <t>ヘイキン</t>
    </rPh>
    <rPh sb="24" eb="26">
      <t>カクシ</t>
    </rPh>
    <rPh sb="26" eb="27">
      <t>マチ</t>
    </rPh>
    <rPh sb="27" eb="28">
      <t>オヨ</t>
    </rPh>
    <rPh sb="29" eb="31">
      <t>チイキ</t>
    </rPh>
    <rPh sb="32" eb="34">
      <t>スイジュン</t>
    </rPh>
    <rPh sb="35" eb="38">
      <t>シスウカ</t>
    </rPh>
    <phoneticPr fontId="1"/>
  </si>
  <si>
    <t>…</t>
    <phoneticPr fontId="1"/>
  </si>
  <si>
    <t>計</t>
    <rPh sb="0" eb="1">
      <t>ケイ</t>
    </rPh>
    <phoneticPr fontId="1"/>
  </si>
  <si>
    <t>一般政府（地方政府等）</t>
    <rPh sb="0" eb="4">
      <t>イッパンセイフ</t>
    </rPh>
    <rPh sb="5" eb="10">
      <t>チホウセイフトウ</t>
    </rPh>
    <phoneticPr fontId="1"/>
  </si>
  <si>
    <t>（単位：千円）</t>
    <rPh sb="1" eb="3">
      <t>タンイ</t>
    </rPh>
    <rPh sb="4" eb="6">
      <t>センエン</t>
    </rPh>
    <phoneticPr fontId="1"/>
  </si>
  <si>
    <t>年度</t>
    <rPh sb="0" eb="2">
      <t>ネンド</t>
    </rPh>
    <phoneticPr fontId="1"/>
  </si>
  <si>
    <t>保証承諾</t>
    <rPh sb="0" eb="2">
      <t>ホショウ</t>
    </rPh>
    <rPh sb="2" eb="4">
      <t>ショウダク</t>
    </rPh>
    <phoneticPr fontId="1"/>
  </si>
  <si>
    <t>保証債務残高</t>
    <rPh sb="0" eb="2">
      <t>ホショウ</t>
    </rPh>
    <rPh sb="2" eb="4">
      <t>サイム</t>
    </rPh>
    <rPh sb="4" eb="6">
      <t>ザンダカ</t>
    </rPh>
    <phoneticPr fontId="1"/>
  </si>
  <si>
    <t>代位弁済</t>
    <rPh sb="0" eb="2">
      <t>ダイイ</t>
    </rPh>
    <rPh sb="2" eb="4">
      <t>ベンサイ</t>
    </rPh>
    <phoneticPr fontId="1"/>
  </si>
  <si>
    <t>件数</t>
    <rPh sb="0" eb="2">
      <t>ケンスウ</t>
    </rPh>
    <phoneticPr fontId="1"/>
  </si>
  <si>
    <t>金額</t>
    <rPh sb="0" eb="2">
      <t>キンガク</t>
    </rPh>
    <phoneticPr fontId="1"/>
  </si>
  <si>
    <t>令和２年</t>
    <rPh sb="0" eb="2">
      <t>レイワ</t>
    </rPh>
    <rPh sb="3" eb="4">
      <t>ネン</t>
    </rPh>
    <phoneticPr fontId="1"/>
  </si>
  <si>
    <t>令和３年</t>
    <rPh sb="0" eb="2">
      <t>レイワ</t>
    </rPh>
    <rPh sb="3" eb="4">
      <t>ネン</t>
    </rPh>
    <phoneticPr fontId="1"/>
  </si>
  <si>
    <t>令和４年</t>
    <rPh sb="0" eb="2">
      <t>レイワ</t>
    </rPh>
    <rPh sb="3" eb="4">
      <t>ネン</t>
    </rPh>
    <phoneticPr fontId="1"/>
  </si>
  <si>
    <t>資料：山口県信用保証協会</t>
    <rPh sb="0" eb="2">
      <t>シリョウ</t>
    </rPh>
    <rPh sb="3" eb="6">
      <t>ヤマグチケン</t>
    </rPh>
    <rPh sb="6" eb="8">
      <t>シンヨウ</t>
    </rPh>
    <rPh sb="8" eb="10">
      <t>ホショウ</t>
    </rPh>
    <rPh sb="10" eb="12">
      <t>キョウカイ</t>
    </rPh>
    <phoneticPr fontId="1"/>
  </si>
  <si>
    <t>Ｊ 金融・市民所得</t>
    <rPh sb="2" eb="4">
      <t>キンユウ</t>
    </rPh>
    <rPh sb="5" eb="7">
      <t>シミン</t>
    </rPh>
    <rPh sb="7" eb="9">
      <t>ショトク</t>
    </rPh>
    <phoneticPr fontId="1"/>
  </si>
  <si>
    <t>令和５年</t>
    <rPh sb="0" eb="2">
      <t>レイワ</t>
    </rPh>
    <rPh sb="3" eb="4">
      <t>ネン</t>
    </rPh>
    <phoneticPr fontId="1"/>
  </si>
  <si>
    <t>96　Ｊ 金融・市民所得</t>
    <rPh sb="5" eb="7">
      <t>キンユウ</t>
    </rPh>
    <rPh sb="8" eb="10">
      <t>シミン</t>
    </rPh>
    <rPh sb="10" eb="12">
      <t>ショトク</t>
    </rPh>
    <phoneticPr fontId="1"/>
  </si>
  <si>
    <t>109　信用保証状況</t>
    <rPh sb="4" eb="6">
      <t>シンヨウ</t>
    </rPh>
    <rPh sb="6" eb="8">
      <t>ホショウ</t>
    </rPh>
    <rPh sb="8" eb="10">
      <t>ジョウキョウ</t>
    </rPh>
    <phoneticPr fontId="1"/>
  </si>
  <si>
    <t>令和６年</t>
    <rPh sb="0" eb="2">
      <t>レイワ</t>
    </rPh>
    <rPh sb="3" eb="4">
      <t>ネン</t>
    </rPh>
    <phoneticPr fontId="1"/>
  </si>
  <si>
    <t>110　経済活動別市内総生産</t>
    <rPh sb="4" eb="6">
      <t>ケイザイ</t>
    </rPh>
    <rPh sb="6" eb="8">
      <t>カツドウ</t>
    </rPh>
    <rPh sb="8" eb="9">
      <t>ベツ</t>
    </rPh>
    <rPh sb="9" eb="11">
      <t>シナイ</t>
    </rPh>
    <rPh sb="11" eb="14">
      <t>ソウセイサン</t>
    </rPh>
    <phoneticPr fontId="1"/>
  </si>
  <si>
    <t>（令和4年度）</t>
    <rPh sb="1" eb="3">
      <t>レイワ</t>
    </rPh>
    <rPh sb="4" eb="6">
      <t>ネンド</t>
    </rPh>
    <phoneticPr fontId="1"/>
  </si>
  <si>
    <t>111　経済活動別市内要素所得（純生産）</t>
    <rPh sb="4" eb="6">
      <t>ケイザイ</t>
    </rPh>
    <rPh sb="6" eb="8">
      <t>カツドウ</t>
    </rPh>
    <rPh sb="8" eb="9">
      <t>ベツ</t>
    </rPh>
    <rPh sb="9" eb="11">
      <t>シナイ</t>
    </rPh>
    <rPh sb="11" eb="13">
      <t>ヨウソ</t>
    </rPh>
    <rPh sb="13" eb="15">
      <t>ショトク</t>
    </rPh>
    <rPh sb="16" eb="17">
      <t>ジュン</t>
    </rPh>
    <rPh sb="17" eb="19">
      <t>セイサン</t>
    </rPh>
    <phoneticPr fontId="1"/>
  </si>
  <si>
    <t>112　市民所得の分配</t>
    <rPh sb="4" eb="8">
      <t>シミンショトク</t>
    </rPh>
    <rPh sb="9" eb="11">
      <t>ブンパイ</t>
    </rPh>
    <phoneticPr fontId="1"/>
  </si>
  <si>
    <t>113　所得分析指標</t>
    <rPh sb="4" eb="6">
      <t>ショトク</t>
    </rPh>
    <rPh sb="6" eb="8">
      <t>ブンセキ</t>
    </rPh>
    <rPh sb="8" eb="10">
      <t>シヒョウ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</si>
</sst>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 * #,##0_ ;_ * \-#,##0_ ;_ * &quot;-&quot;_ ;_ @_ "/>
    <numFmt numFmtId="176" formatCode="#,##0_);[Red]\(#,##0\)"/>
    <numFmt numFmtId="177" formatCode="0.0_);[Red]\(0.0\)"/>
    <numFmt numFmtId="178" formatCode="#,##0_ ;[Red]\-#,##0\ "/>
    <numFmt numFmtId="179" formatCode="#,##0.0_ ;[Red]\-#,##0.0\ "/>
    <numFmt numFmtId="180" formatCode="_ * #,##0.0_ ;_ * \-#,##0.0_ ;_ * &quot;-&quot;_ ;_ @_ "/>
    <numFmt numFmtId="181" formatCode="_ * #,##0.00_ ;_ * \-#,##0.00_ ;_ * &quot;-&quot;_ ;_ @_ "/>
    <numFmt numFmtId="182" formatCode="_ * #,##0_ ;_ * \△\ #,##0_ ;_ * &quot;-&quot;_ ;_ @_ "/>
    <numFmt numFmtId="183" formatCode="_ * #,##0.0_ ;_ * \△\ #,##0.0_ ;_ * &quot;-&quot;?_ ;_ @_ "/>
    <numFmt numFmtId="184" formatCode="\(@\)"/>
  </numFmts>
  <fonts count="8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name val="ＭＳ 明朝"/>
      <family val="1"/>
      <charset val="128"/>
    </font>
    <font>
      <sz val="10"/>
      <color theme="1"/>
      <name val="BIZ UD明朝 Medium"/>
      <family val="1"/>
      <charset val="128"/>
    </font>
    <font>
      <sz val="28"/>
      <color theme="1"/>
      <name val="BIZ UD明朝 Medium"/>
      <family val="1"/>
      <charset val="128"/>
    </font>
    <font>
      <b/>
      <sz val="10"/>
      <color theme="1"/>
      <name val="BIZ UD明朝 Medium"/>
      <family val="1"/>
      <charset val="128"/>
    </font>
    <font>
      <sz val="11"/>
      <color theme="1"/>
      <name val="Yu Gothic"/>
      <family val="2"/>
      <scheme val="minor"/>
    </font>
    <font>
      <sz val="10"/>
      <color theme="0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83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0" fontId="5" fillId="0" borderId="0" xfId="0" applyFont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76" fontId="3" fillId="0" borderId="1" xfId="0" applyNumberFormat="1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178" fontId="3" fillId="0" borderId="0" xfId="2" applyNumberFormat="1" applyFont="1" applyFill="1" applyBorder="1" applyAlignment="1">
      <alignment vertical="center"/>
    </xf>
    <xf numFmtId="179" fontId="3" fillId="0" borderId="0" xfId="2" applyNumberFormat="1" applyFont="1" applyFill="1" applyBorder="1" applyAlignment="1">
      <alignment vertical="center"/>
    </xf>
    <xf numFmtId="41" fontId="3" fillId="0" borderId="0" xfId="2" applyNumberFormat="1" applyFont="1" applyFill="1" applyBorder="1" applyAlignment="1">
      <alignment vertical="center"/>
    </xf>
    <xf numFmtId="41" fontId="3" fillId="0" borderId="6" xfId="0" applyNumberFormat="1" applyFont="1" applyBorder="1" applyAlignment="1">
      <alignment vertical="center"/>
    </xf>
    <xf numFmtId="41" fontId="3" fillId="0" borderId="1" xfId="0" applyNumberFormat="1" applyFont="1" applyBorder="1" applyAlignment="1">
      <alignment vertical="center"/>
    </xf>
    <xf numFmtId="180" fontId="3" fillId="0" borderId="0" xfId="0" applyNumberFormat="1" applyFont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184" fontId="3" fillId="0" borderId="2" xfId="0" applyNumberFormat="1" applyFont="1" applyBorder="1" applyAlignment="1">
      <alignment horizontal="left" vertical="center" indent="1"/>
    </xf>
    <xf numFmtId="184" fontId="3" fillId="0" borderId="3" xfId="0" applyNumberFormat="1" applyFont="1" applyBorder="1" applyAlignment="1">
      <alignment vertical="center"/>
    </xf>
    <xf numFmtId="41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indent="1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indent="2"/>
    </xf>
    <xf numFmtId="0" fontId="3" fillId="0" borderId="3" xfId="0" applyFont="1" applyBorder="1" applyAlignment="1">
      <alignment horizontal="left" vertical="center" indent="1"/>
    </xf>
    <xf numFmtId="176" fontId="5" fillId="0" borderId="1" xfId="0" applyNumberFormat="1" applyFont="1" applyBorder="1" applyAlignment="1">
      <alignment vertical="center"/>
    </xf>
    <xf numFmtId="0" fontId="5" fillId="0" borderId="2" xfId="0" applyFont="1" applyBorder="1" applyAlignment="1">
      <alignment horizontal="left" vertical="center" indent="2"/>
    </xf>
    <xf numFmtId="176" fontId="5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177" fontId="3" fillId="0" borderId="0" xfId="0" applyNumberFormat="1" applyFont="1" applyAlignment="1">
      <alignment horizontal="right" vertical="center"/>
    </xf>
    <xf numFmtId="41" fontId="5" fillId="0" borderId="0" xfId="0" applyNumberFormat="1" applyFont="1" applyAlignment="1">
      <alignment vertical="center"/>
    </xf>
    <xf numFmtId="177" fontId="5" fillId="0" borderId="0" xfId="0" applyNumberFormat="1" applyFont="1" applyAlignment="1">
      <alignment vertical="center"/>
    </xf>
    <xf numFmtId="177" fontId="3" fillId="0" borderId="0" xfId="2" applyNumberFormat="1" applyFont="1" applyFill="1" applyBorder="1" applyAlignment="1">
      <alignment vertical="center"/>
    </xf>
    <xf numFmtId="41" fontId="5" fillId="0" borderId="0" xfId="2" applyNumberFormat="1" applyFont="1" applyFill="1" applyBorder="1" applyAlignment="1">
      <alignment vertical="center"/>
    </xf>
    <xf numFmtId="177" fontId="5" fillId="0" borderId="0" xfId="2" applyNumberFormat="1" applyFont="1" applyFill="1" applyBorder="1" applyAlignment="1">
      <alignment vertical="center"/>
    </xf>
    <xf numFmtId="183" fontId="3" fillId="0" borderId="0" xfId="0" applyNumberFormat="1" applyFont="1" applyAlignment="1">
      <alignment vertical="center"/>
    </xf>
    <xf numFmtId="182" fontId="3" fillId="0" borderId="0" xfId="0" applyNumberFormat="1" applyFont="1" applyAlignment="1">
      <alignment horizontal="right" vertical="center"/>
    </xf>
    <xf numFmtId="183" fontId="5" fillId="0" borderId="0" xfId="0" applyNumberFormat="1" applyFont="1" applyAlignment="1">
      <alignment vertical="center"/>
    </xf>
    <xf numFmtId="181" fontId="3" fillId="0" borderId="0" xfId="0" applyNumberFormat="1" applyFont="1" applyAlignment="1">
      <alignment vertical="center"/>
    </xf>
    <xf numFmtId="0" fontId="4" fillId="0" borderId="0" xfId="0" applyFont="1" applyAlignment="1">
      <alignment horizontal="distributed" vertical="center" indent="20"/>
    </xf>
    <xf numFmtId="0" fontId="3" fillId="0" borderId="2" xfId="0" applyFont="1" applyBorder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2" xfId="0" applyBorder="1" applyAlignment="1">
      <alignment horizontal="left" vertical="center" indent="1"/>
    </xf>
    <xf numFmtId="0" fontId="3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 indent="5"/>
    </xf>
    <xf numFmtId="0" fontId="3" fillId="0" borderId="0" xfId="0" applyFont="1" applyAlignment="1">
      <alignment horizontal="left" vertical="center" indent="1"/>
    </xf>
    <xf numFmtId="0" fontId="3" fillId="0" borderId="2" xfId="0" applyFont="1" applyBorder="1" applyAlignment="1">
      <alignment horizontal="left" vertical="center" indent="3"/>
    </xf>
    <xf numFmtId="0" fontId="3" fillId="0" borderId="2" xfId="0" applyFont="1" applyBorder="1" applyAlignment="1">
      <alignment horizontal="left" vertical="center" indent="4"/>
    </xf>
    <xf numFmtId="0" fontId="3" fillId="0" borderId="6" xfId="0" applyFont="1" applyBorder="1" applyAlignment="1">
      <alignment horizontal="left" vertical="center" indent="2"/>
    </xf>
    <xf numFmtId="0" fontId="3" fillId="0" borderId="1" xfId="0" applyFont="1" applyBorder="1" applyAlignment="1">
      <alignment horizontal="left" vertical="center" indent="3"/>
    </xf>
    <xf numFmtId="0" fontId="3" fillId="0" borderId="3" xfId="0" applyFont="1" applyBorder="1" applyAlignment="1">
      <alignment horizontal="left" vertical="center" indent="3"/>
    </xf>
    <xf numFmtId="0" fontId="3" fillId="0" borderId="1" xfId="0" applyFont="1" applyBorder="1" applyAlignment="1">
      <alignment horizontal="left" vertical="center" indent="1"/>
    </xf>
    <xf numFmtId="0" fontId="5" fillId="0" borderId="2" xfId="0" applyFont="1" applyBorder="1" applyAlignment="1">
      <alignment horizontal="left" vertical="center" indent="2"/>
    </xf>
    <xf numFmtId="0" fontId="3" fillId="0" borderId="6" xfId="0" applyFont="1" applyBorder="1" applyAlignment="1">
      <alignment horizontal="left" vertical="center" indent="3"/>
    </xf>
    <xf numFmtId="0" fontId="3" fillId="0" borderId="7" xfId="0" applyFont="1" applyBorder="1" applyAlignment="1">
      <alignment horizontal="left" vertical="center" indent="3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7" xfId="0" applyFont="1" applyBorder="1" applyAlignment="1">
      <alignment horizontal="left" vertical="center"/>
    </xf>
  </cellXfs>
  <cellStyles count="3">
    <cellStyle name="桁区切り" xfId="2" builtinId="6"/>
    <cellStyle name="標準" xfId="0" builtinId="0"/>
    <cellStyle name="標準 6" xfId="1" xr:uid="{6B4E96D8-ED2D-491F-B32B-11454BC064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08230-207A-4B14-B19C-004156506579}">
  <sheetPr codeName="Sheet1"/>
  <dimension ref="A1:AA65"/>
  <sheetViews>
    <sheetView tabSelected="1" view="pageBreakPreview" topLeftCell="A31" zoomScale="50" zoomScaleNormal="100" zoomScaleSheetLayoutView="50" workbookViewId="0">
      <selection activeCell="K45" sqref="K45"/>
    </sheetView>
  </sheetViews>
  <sheetFormatPr defaultColWidth="3" defaultRowHeight="16.5" customHeight="1"/>
  <cols>
    <col min="1" max="1" width="2.83203125" style="2" customWidth="1"/>
    <col min="2" max="2" width="15.25" style="2" customWidth="1"/>
    <col min="3" max="3" width="7.58203125" style="2" customWidth="1"/>
    <col min="4" max="4" width="12.58203125" style="2" customWidth="1"/>
    <col min="5" max="5" width="7.58203125" style="2" customWidth="1"/>
    <col min="6" max="6" width="14.58203125" style="2" customWidth="1"/>
    <col min="7" max="7" width="12.08203125" style="2" bestFit="1" customWidth="1"/>
    <col min="8" max="8" width="14.58203125" style="2" customWidth="1"/>
    <col min="9" max="14" width="7.58203125" style="2" customWidth="1"/>
    <col min="15" max="16" width="11.58203125" style="2" customWidth="1"/>
    <col min="17" max="17" width="9.58203125" style="2" customWidth="1"/>
    <col min="18" max="18" width="7.58203125" style="2" customWidth="1"/>
    <col min="19" max="20" width="13.58203125" style="2" customWidth="1"/>
    <col min="21" max="21" width="10.58203125" style="2" customWidth="1"/>
    <col min="22" max="22" width="14.58203125" style="2" customWidth="1"/>
    <col min="23" max="23" width="11.58203125" style="2" customWidth="1"/>
    <col min="24" max="24" width="9.58203125" style="2" customWidth="1"/>
    <col min="25" max="25" width="2.83203125" style="2" customWidth="1"/>
    <col min="26" max="16384" width="3" style="2"/>
  </cols>
  <sheetData>
    <row r="1" spans="1:27" ht="16.5" customHeight="1">
      <c r="A1" s="1" t="s">
        <v>85</v>
      </c>
      <c r="B1" s="1"/>
      <c r="C1" s="1"/>
      <c r="Y1" s="3" t="str">
        <f>"Ｊ 金融・市民所得　"&amp;VALUE(SUBSTITUTE(A1,$B$2,""))+1</f>
        <v>Ｊ 金融・市民所得　97</v>
      </c>
    </row>
    <row r="2" spans="1:27" ht="32.25" customHeight="1">
      <c r="B2" s="48" t="s">
        <v>83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7" ht="11" customHeight="1">
      <c r="B3" s="5"/>
      <c r="C3" s="5"/>
      <c r="R3" s="5"/>
      <c r="S3" s="5"/>
    </row>
    <row r="4" spans="1:27" ht="15" customHeight="1">
      <c r="B4" s="6" t="s">
        <v>86</v>
      </c>
      <c r="C4" s="6"/>
      <c r="H4" s="3"/>
      <c r="J4" s="6" t="s">
        <v>88</v>
      </c>
      <c r="K4" s="6"/>
      <c r="Q4" s="3"/>
      <c r="S4" s="6" t="s">
        <v>90</v>
      </c>
      <c r="T4" s="6"/>
      <c r="U4" s="6"/>
      <c r="Z4" s="3"/>
      <c r="AA4" s="3"/>
    </row>
    <row r="5" spans="1:27" ht="16.5" customHeight="1" thickBot="1">
      <c r="C5" s="2" t="s">
        <v>72</v>
      </c>
      <c r="H5" s="3"/>
      <c r="J5" s="6"/>
      <c r="K5" s="6"/>
      <c r="L5" s="3"/>
      <c r="P5" s="3"/>
      <c r="Q5" s="3" t="s">
        <v>89</v>
      </c>
      <c r="S5" s="6"/>
      <c r="T5" s="6"/>
      <c r="U5" s="6"/>
      <c r="V5" s="3"/>
      <c r="X5" s="3" t="s">
        <v>89</v>
      </c>
    </row>
    <row r="6" spans="1:27" ht="15" customHeight="1" thickTop="1">
      <c r="B6" s="57" t="s">
        <v>73</v>
      </c>
      <c r="C6" s="59" t="s">
        <v>74</v>
      </c>
      <c r="D6" s="60"/>
      <c r="E6" s="59" t="s">
        <v>75</v>
      </c>
      <c r="F6" s="60"/>
      <c r="G6" s="59" t="s">
        <v>76</v>
      </c>
      <c r="H6" s="61"/>
      <c r="J6" s="55" t="s">
        <v>0</v>
      </c>
      <c r="K6" s="55"/>
      <c r="L6" s="55"/>
      <c r="M6" s="55"/>
      <c r="N6" s="56"/>
      <c r="O6" s="26" t="s">
        <v>51</v>
      </c>
      <c r="P6" s="8" t="s">
        <v>52</v>
      </c>
      <c r="Q6" s="7" t="s">
        <v>53</v>
      </c>
      <c r="R6" s="25"/>
      <c r="S6" s="55" t="s">
        <v>0</v>
      </c>
      <c r="T6" s="55"/>
      <c r="U6" s="56"/>
      <c r="V6" s="26" t="s">
        <v>51</v>
      </c>
      <c r="W6" s="8" t="s">
        <v>52</v>
      </c>
      <c r="X6" s="7" t="s">
        <v>53</v>
      </c>
    </row>
    <row r="7" spans="1:27" ht="14" customHeight="1">
      <c r="B7" s="58"/>
      <c r="C7" s="27" t="s">
        <v>77</v>
      </c>
      <c r="D7" s="28" t="s">
        <v>78</v>
      </c>
      <c r="E7" s="27" t="s">
        <v>77</v>
      </c>
      <c r="F7" s="28" t="s">
        <v>78</v>
      </c>
      <c r="G7" s="27" t="s">
        <v>77</v>
      </c>
      <c r="H7" s="29" t="s">
        <v>78</v>
      </c>
      <c r="J7" s="52"/>
      <c r="K7" s="53"/>
      <c r="L7" s="53"/>
      <c r="M7" s="53"/>
      <c r="N7" s="54"/>
      <c r="S7" s="52"/>
      <c r="T7" s="52"/>
      <c r="U7" s="82"/>
      <c r="V7" s="11"/>
    </row>
    <row r="8" spans="1:27" ht="14" customHeight="1">
      <c r="B8" s="30"/>
      <c r="C8" s="31"/>
      <c r="D8" s="31"/>
      <c r="E8" s="31"/>
      <c r="F8" s="31"/>
      <c r="G8" s="31"/>
      <c r="H8" s="31"/>
      <c r="J8" s="49" t="s">
        <v>1</v>
      </c>
      <c r="K8" s="49"/>
      <c r="L8" s="49"/>
      <c r="M8" s="49"/>
      <c r="N8" s="49"/>
      <c r="O8" s="13">
        <v>1656</v>
      </c>
      <c r="P8" s="37">
        <f>(O8/$O$26)*100</f>
        <v>0.17743966140740941</v>
      </c>
      <c r="Q8" s="38">
        <f>(O8/30753)*100</f>
        <v>5.3848405033655258</v>
      </c>
      <c r="S8" s="63" t="s">
        <v>1</v>
      </c>
      <c r="T8" s="50"/>
      <c r="U8" s="51"/>
      <c r="V8" s="16">
        <v>1125</v>
      </c>
      <c r="W8" s="41">
        <f>(V8/$V$26)*100</f>
        <v>0.19754794708173393</v>
      </c>
      <c r="X8" s="41">
        <f>V8/21084*100</f>
        <v>5.3357996585088223</v>
      </c>
      <c r="Y8" s="3"/>
    </row>
    <row r="9" spans="1:27" ht="16.5" customHeight="1">
      <c r="B9" s="32" t="s">
        <v>79</v>
      </c>
      <c r="C9" s="9">
        <v>1878</v>
      </c>
      <c r="D9" s="9">
        <v>33604231</v>
      </c>
      <c r="E9" s="9">
        <v>3163</v>
      </c>
      <c r="F9" s="9">
        <v>37922448</v>
      </c>
      <c r="G9" s="9">
        <v>19</v>
      </c>
      <c r="H9" s="9">
        <v>70861</v>
      </c>
      <c r="J9" s="49" t="s">
        <v>2</v>
      </c>
      <c r="K9" s="50"/>
      <c r="L9" s="50"/>
      <c r="M9" s="50"/>
      <c r="N9" s="51"/>
      <c r="O9" s="13">
        <v>714</v>
      </c>
      <c r="P9" s="37">
        <f>(O9/$O$26)*100</f>
        <v>7.6504781548846795E-2</v>
      </c>
      <c r="Q9" s="38">
        <f>O9/5755*100</f>
        <v>12.406602953953085</v>
      </c>
      <c r="S9" s="63" t="s">
        <v>2</v>
      </c>
      <c r="T9" s="50"/>
      <c r="U9" s="51"/>
      <c r="V9" s="16">
        <v>553</v>
      </c>
      <c r="W9" s="41">
        <f t="shared" ref="W9:W25" si="0">(V9/$V$26)*100</f>
        <v>9.7105790876621217E-2</v>
      </c>
      <c r="X9" s="41">
        <f>V9/4453*100</f>
        <v>12.418594206153156</v>
      </c>
      <c r="Y9" s="3"/>
    </row>
    <row r="10" spans="1:27" ht="16.5" customHeight="1">
      <c r="B10" s="32" t="s">
        <v>80</v>
      </c>
      <c r="C10" s="9">
        <v>557</v>
      </c>
      <c r="D10" s="9">
        <v>7202330</v>
      </c>
      <c r="E10" s="9">
        <v>3167</v>
      </c>
      <c r="F10" s="9">
        <v>38756297</v>
      </c>
      <c r="G10" s="9">
        <v>25</v>
      </c>
      <c r="H10" s="9">
        <v>296256</v>
      </c>
      <c r="J10" s="49" t="s">
        <v>3</v>
      </c>
      <c r="K10" s="50"/>
      <c r="L10" s="50"/>
      <c r="M10" s="50"/>
      <c r="N10" s="51"/>
      <c r="O10" s="13">
        <v>327</v>
      </c>
      <c r="P10" s="37">
        <f t="shared" ref="P10:P25" si="1">(O10/$O$26)*100</f>
        <v>3.5037904154723958E-2</v>
      </c>
      <c r="Q10" s="38">
        <f>O10/7173*100</f>
        <v>4.558762024257633</v>
      </c>
      <c r="S10" s="63" t="s">
        <v>3</v>
      </c>
      <c r="T10" s="50"/>
      <c r="U10" s="51"/>
      <c r="V10" s="16">
        <v>249</v>
      </c>
      <c r="W10" s="41">
        <f t="shared" si="0"/>
        <v>4.3723945620757106E-2</v>
      </c>
      <c r="X10" s="41">
        <f>V10/5452*100</f>
        <v>4.5671313279530441</v>
      </c>
      <c r="Y10" s="3"/>
    </row>
    <row r="11" spans="1:27" ht="16.5" customHeight="1">
      <c r="B11" s="32" t="s">
        <v>81</v>
      </c>
      <c r="C11" s="9">
        <v>544</v>
      </c>
      <c r="D11" s="9">
        <v>7452483</v>
      </c>
      <c r="E11" s="9">
        <v>3092</v>
      </c>
      <c r="F11" s="9">
        <v>38258925</v>
      </c>
      <c r="G11" s="9">
        <v>36</v>
      </c>
      <c r="H11" s="9">
        <v>313547</v>
      </c>
      <c r="J11" s="49" t="s">
        <v>4</v>
      </c>
      <c r="K11" s="50"/>
      <c r="L11" s="50"/>
      <c r="M11" s="50"/>
      <c r="N11" s="51"/>
      <c r="O11" s="13">
        <v>87</v>
      </c>
      <c r="P11" s="37">
        <f t="shared" si="1"/>
        <v>9.3220111971283916E-3</v>
      </c>
      <c r="Q11" s="38">
        <f>O11/8371*100</f>
        <v>1.0393023533628001</v>
      </c>
      <c r="S11" s="63" t="s">
        <v>4</v>
      </c>
      <c r="T11" s="50"/>
      <c r="U11" s="51"/>
      <c r="V11" s="16">
        <v>52</v>
      </c>
      <c r="W11" s="41">
        <f t="shared" si="0"/>
        <v>9.1311051095557018E-3</v>
      </c>
      <c r="X11" s="41">
        <f>V11/4463*100</f>
        <v>1.1651355590410037</v>
      </c>
      <c r="Y11" s="3"/>
    </row>
    <row r="12" spans="1:27" ht="16.5" customHeight="1">
      <c r="B12" s="32" t="s">
        <v>84</v>
      </c>
      <c r="C12" s="9">
        <v>575</v>
      </c>
      <c r="D12" s="9">
        <v>10008667</v>
      </c>
      <c r="E12" s="9">
        <v>2744</v>
      </c>
      <c r="F12" s="9">
        <v>33085021.636</v>
      </c>
      <c r="G12" s="9">
        <v>43</v>
      </c>
      <c r="H12" s="9">
        <v>280172.147</v>
      </c>
      <c r="J12" s="49" t="s">
        <v>5</v>
      </c>
      <c r="K12" s="50"/>
      <c r="L12" s="50"/>
      <c r="M12" s="50"/>
      <c r="N12" s="51"/>
      <c r="O12" s="13">
        <v>456631</v>
      </c>
      <c r="P12" s="37">
        <f t="shared" si="1"/>
        <v>48.927807987999252</v>
      </c>
      <c r="Q12" s="37">
        <f>O12/2183575*100</f>
        <v>20.91208225043793</v>
      </c>
      <c r="S12" s="63" t="s">
        <v>5</v>
      </c>
      <c r="T12" s="50"/>
      <c r="U12" s="51"/>
      <c r="V12" s="16">
        <v>236395</v>
      </c>
      <c r="W12" s="41">
        <f t="shared" si="0"/>
        <v>41.510530622565774</v>
      </c>
      <c r="X12" s="41">
        <f>V12/1106133*100</f>
        <v>21.371299834649179</v>
      </c>
      <c r="Y12" s="9"/>
    </row>
    <row r="13" spans="1:27" ht="16.5" customHeight="1">
      <c r="B13" s="35" t="s">
        <v>87</v>
      </c>
      <c r="C13" s="36">
        <v>513</v>
      </c>
      <c r="D13" s="36">
        <v>7436631</v>
      </c>
      <c r="E13" s="36">
        <v>2635</v>
      </c>
      <c r="F13" s="36">
        <v>30661086.986000001</v>
      </c>
      <c r="G13" s="36">
        <v>41</v>
      </c>
      <c r="H13" s="36">
        <v>333569.54800000001</v>
      </c>
      <c r="J13" s="49" t="s">
        <v>6</v>
      </c>
      <c r="K13" s="50"/>
      <c r="L13" s="50"/>
      <c r="M13" s="50"/>
      <c r="N13" s="51"/>
      <c r="O13" s="13">
        <v>13623</v>
      </c>
      <c r="P13" s="37">
        <f t="shared" si="1"/>
        <v>1.4596983740055181</v>
      </c>
      <c r="Q13" s="37">
        <f>O13/151272*100</f>
        <v>9.0056322386165313</v>
      </c>
      <c r="S13" s="63" t="s">
        <v>6</v>
      </c>
      <c r="T13" s="50"/>
      <c r="U13" s="51"/>
      <c r="V13" s="16">
        <v>4601</v>
      </c>
      <c r="W13" s="41">
        <f t="shared" si="0"/>
        <v>0.80792720402049578</v>
      </c>
      <c r="X13" s="41">
        <f>V13/4709*100</f>
        <v>97.706519430877051</v>
      </c>
      <c r="Y13" s="9"/>
    </row>
    <row r="14" spans="1:27" ht="16.5" customHeight="1" thickBot="1">
      <c r="B14" s="33"/>
      <c r="C14" s="34"/>
      <c r="D14" s="34"/>
      <c r="E14" s="34"/>
      <c r="F14" s="34"/>
      <c r="G14" s="34"/>
      <c r="H14" s="34"/>
      <c r="J14" s="49" t="s">
        <v>7</v>
      </c>
      <c r="K14" s="50"/>
      <c r="L14" s="50"/>
      <c r="M14" s="50"/>
      <c r="N14" s="51"/>
      <c r="O14" s="13">
        <v>54980</v>
      </c>
      <c r="P14" s="37">
        <f t="shared" si="1"/>
        <v>5.8910824783691842</v>
      </c>
      <c r="Q14" s="37">
        <f>O14/445406*100</f>
        <v>12.343794201245604</v>
      </c>
      <c r="S14" s="63" t="s">
        <v>7</v>
      </c>
      <c r="T14" s="50"/>
      <c r="U14" s="51"/>
      <c r="V14" s="16">
        <v>41921</v>
      </c>
      <c r="W14" s="41">
        <f t="shared" si="0"/>
        <v>7.3612511018785494</v>
      </c>
      <c r="X14" s="41">
        <f>V14/341501*100</f>
        <v>12.275513102450651</v>
      </c>
      <c r="Y14" s="9"/>
    </row>
    <row r="15" spans="1:27" ht="16.5" customHeight="1" thickTop="1">
      <c r="B15" s="5" t="s">
        <v>82</v>
      </c>
      <c r="C15" s="5"/>
      <c r="J15" s="49" t="s">
        <v>8</v>
      </c>
      <c r="K15" s="50"/>
      <c r="L15" s="50"/>
      <c r="M15" s="50"/>
      <c r="N15" s="51"/>
      <c r="O15" s="13">
        <v>58951</v>
      </c>
      <c r="P15" s="37">
        <f t="shared" si="1"/>
        <v>6.3165733572633993</v>
      </c>
      <c r="Q15" s="37">
        <f>O15/501735*100</f>
        <v>11.749429479705423</v>
      </c>
      <c r="S15" s="63" t="s">
        <v>8</v>
      </c>
      <c r="T15" s="50"/>
      <c r="U15" s="51"/>
      <c r="V15" s="16">
        <v>44179</v>
      </c>
      <c r="W15" s="41">
        <f t="shared" si="0"/>
        <v>7.7577517814434875</v>
      </c>
      <c r="X15" s="41">
        <f>V15/374638*100</f>
        <v>11.792450312034552</v>
      </c>
      <c r="Y15" s="9"/>
    </row>
    <row r="16" spans="1:27" ht="16.5" customHeight="1">
      <c r="B16" s="9"/>
      <c r="C16" s="9"/>
      <c r="J16" s="49" t="s">
        <v>9</v>
      </c>
      <c r="K16" s="50"/>
      <c r="L16" s="50"/>
      <c r="M16" s="50"/>
      <c r="N16" s="51"/>
      <c r="O16" s="13">
        <v>59784</v>
      </c>
      <c r="P16" s="37">
        <f t="shared" si="1"/>
        <v>6.4058289357370555</v>
      </c>
      <c r="Q16" s="37">
        <f>O16/359123*100</f>
        <v>16.647221147072173</v>
      </c>
      <c r="S16" s="63" t="s">
        <v>9</v>
      </c>
      <c r="T16" s="50"/>
      <c r="U16" s="51"/>
      <c r="V16" s="16">
        <v>34864</v>
      </c>
      <c r="W16" s="41">
        <f t="shared" si="0"/>
        <v>6.1220547796067306</v>
      </c>
      <c r="X16" s="41">
        <f>V16/226203*100</f>
        <v>15.412704517623551</v>
      </c>
      <c r="Y16" s="9"/>
    </row>
    <row r="17" spans="2:25" ht="16.5" customHeight="1">
      <c r="B17" s="9"/>
      <c r="C17" s="9"/>
      <c r="J17" s="49" t="s">
        <v>10</v>
      </c>
      <c r="K17" s="50"/>
      <c r="L17" s="50"/>
      <c r="M17" s="50"/>
      <c r="N17" s="51"/>
      <c r="O17" s="13">
        <v>8890</v>
      </c>
      <c r="P17" s="37">
        <f t="shared" si="1"/>
        <v>0.95255953497093571</v>
      </c>
      <c r="Q17" s="37">
        <f>O17/86294*100</f>
        <v>10.301990868426541</v>
      </c>
      <c r="S17" s="63" t="s">
        <v>10</v>
      </c>
      <c r="T17" s="50"/>
      <c r="U17" s="51"/>
      <c r="V17" s="16">
        <v>6394</v>
      </c>
      <c r="W17" s="41">
        <f t="shared" si="0"/>
        <v>1.1227747321249837</v>
      </c>
      <c r="X17" s="41">
        <f>V17/60752*100</f>
        <v>10.524756386621016</v>
      </c>
      <c r="Y17" s="9"/>
    </row>
    <row r="18" spans="2:25" ht="16.5" customHeight="1">
      <c r="B18" s="9"/>
      <c r="C18" s="9"/>
      <c r="J18" s="49" t="s">
        <v>11</v>
      </c>
      <c r="K18" s="50"/>
      <c r="L18" s="50"/>
      <c r="M18" s="50"/>
      <c r="N18" s="51"/>
      <c r="O18" s="13">
        <v>5514</v>
      </c>
      <c r="P18" s="37">
        <f t="shared" si="1"/>
        <v>0.59082264070075807</v>
      </c>
      <c r="Q18" s="37">
        <f>O18/111318*100</f>
        <v>4.9533768123753568</v>
      </c>
      <c r="S18" s="63" t="s">
        <v>11</v>
      </c>
      <c r="T18" s="50"/>
      <c r="U18" s="51"/>
      <c r="V18" s="16">
        <v>3307</v>
      </c>
      <c r="W18" s="41">
        <f t="shared" si="0"/>
        <v>0.58070316533270594</v>
      </c>
      <c r="X18" s="41">
        <f>V18/56736*100</f>
        <v>5.8287507050197407</v>
      </c>
      <c r="Y18" s="9"/>
    </row>
    <row r="19" spans="2:25" ht="16.5" customHeight="1">
      <c r="B19" s="9"/>
      <c r="C19" s="9"/>
      <c r="J19" s="49" t="s">
        <v>12</v>
      </c>
      <c r="K19" s="50"/>
      <c r="L19" s="50"/>
      <c r="M19" s="50"/>
      <c r="N19" s="51"/>
      <c r="O19" s="13">
        <v>35263</v>
      </c>
      <c r="P19" s="37">
        <f t="shared" si="1"/>
        <v>3.7784147223487183</v>
      </c>
      <c r="Q19" s="37">
        <f>O19/193855*100</f>
        <v>18.190400041267957</v>
      </c>
      <c r="S19" s="63" t="s">
        <v>12</v>
      </c>
      <c r="T19" s="50"/>
      <c r="U19" s="51"/>
      <c r="V19" s="16">
        <v>30714</v>
      </c>
      <c r="W19" s="41">
        <f t="shared" si="0"/>
        <v>5.3933223525941116</v>
      </c>
      <c r="X19" s="41">
        <f>V19/168523*100</f>
        <v>18.225405434273068</v>
      </c>
      <c r="Y19" s="9"/>
    </row>
    <row r="20" spans="2:25" ht="16.5" customHeight="1">
      <c r="B20" s="9"/>
      <c r="C20" s="9"/>
      <c r="J20" s="49" t="s">
        <v>54</v>
      </c>
      <c r="K20" s="50"/>
      <c r="L20" s="50"/>
      <c r="M20" s="50"/>
      <c r="N20" s="51"/>
      <c r="O20" s="13">
        <v>60821</v>
      </c>
      <c r="P20" s="37">
        <f t="shared" si="1"/>
        <v>6.5169430232246652</v>
      </c>
      <c r="Q20" s="37">
        <f>O20/541873*100</f>
        <v>11.224216744513935</v>
      </c>
      <c r="S20" s="63" t="s">
        <v>54</v>
      </c>
      <c r="T20" s="50"/>
      <c r="U20" s="51"/>
      <c r="V20" s="16">
        <v>29170</v>
      </c>
      <c r="W20" s="41">
        <f t="shared" si="0"/>
        <v>5.1221987701103808</v>
      </c>
      <c r="X20" s="41">
        <f>V20/260963*100</f>
        <v>11.177829807290689</v>
      </c>
      <c r="Y20" s="9"/>
    </row>
    <row r="21" spans="2:25" ht="16.5" customHeight="1">
      <c r="B21" s="9"/>
      <c r="C21" s="9"/>
      <c r="J21" s="49" t="s">
        <v>13</v>
      </c>
      <c r="K21" s="50"/>
      <c r="L21" s="50"/>
      <c r="M21" s="50"/>
      <c r="N21" s="51"/>
      <c r="O21" s="13">
        <v>52229</v>
      </c>
      <c r="P21" s="37">
        <f t="shared" si="1"/>
        <v>5.5963140553427442</v>
      </c>
      <c r="Q21" s="37">
        <f>O21/309895*100</f>
        <v>16.853773052162829</v>
      </c>
      <c r="S21" s="63" t="s">
        <v>13</v>
      </c>
      <c r="T21" s="50"/>
      <c r="U21" s="51"/>
      <c r="V21" s="16">
        <v>41339</v>
      </c>
      <c r="W21" s="41">
        <f t="shared" si="0"/>
        <v>7.259052963921599</v>
      </c>
      <c r="X21" s="41">
        <f>V21/237627*100</f>
        <v>17.396592138098786</v>
      </c>
      <c r="Y21" s="9"/>
    </row>
    <row r="22" spans="2:25" ht="16.5" customHeight="1">
      <c r="B22" s="9"/>
      <c r="C22" s="9"/>
      <c r="J22" s="49" t="s">
        <v>14</v>
      </c>
      <c r="K22" s="50"/>
      <c r="L22" s="50"/>
      <c r="M22" s="50"/>
      <c r="N22" s="51"/>
      <c r="O22" s="13">
        <v>20504</v>
      </c>
      <c r="P22" s="37">
        <f t="shared" si="1"/>
        <v>2.1969944550105809</v>
      </c>
      <c r="Q22" s="37">
        <f>O22/332739*100</f>
        <v>6.1621871797414789</v>
      </c>
      <c r="S22" s="63" t="s">
        <v>14</v>
      </c>
      <c r="T22" s="50"/>
      <c r="U22" s="51"/>
      <c r="V22" s="16">
        <v>13174</v>
      </c>
      <c r="W22" s="41">
        <f t="shared" si="0"/>
        <v>2.3133303598709003</v>
      </c>
      <c r="X22" s="41">
        <f>V22/215336*100</f>
        <v>6.117880893115875</v>
      </c>
      <c r="Y22" s="9"/>
    </row>
    <row r="23" spans="2:25" ht="16.5" customHeight="1">
      <c r="B23" s="9"/>
      <c r="C23" s="9"/>
      <c r="J23" s="49" t="s">
        <v>15</v>
      </c>
      <c r="K23" s="50"/>
      <c r="L23" s="50"/>
      <c r="M23" s="50"/>
      <c r="N23" s="51"/>
      <c r="O23" s="13">
        <v>20823</v>
      </c>
      <c r="P23" s="37">
        <f t="shared" si="1"/>
        <v>2.2311751627333853</v>
      </c>
      <c r="Q23" s="37">
        <f>O23/204986*100</f>
        <v>10.158254710077761</v>
      </c>
      <c r="S23" s="63" t="s">
        <v>15</v>
      </c>
      <c r="T23" s="50"/>
      <c r="U23" s="51"/>
      <c r="V23" s="16">
        <v>15598</v>
      </c>
      <c r="W23" s="41">
        <f t="shared" si="0"/>
        <v>2.738980336516343</v>
      </c>
      <c r="X23" s="41">
        <f>V23/154178*100</f>
        <v>10.116877894381817</v>
      </c>
      <c r="Y23" s="9"/>
    </row>
    <row r="24" spans="2:25" ht="16.5" customHeight="1">
      <c r="B24" s="9"/>
      <c r="C24" s="9"/>
      <c r="J24" s="49" t="s">
        <v>16</v>
      </c>
      <c r="K24" s="50"/>
      <c r="L24" s="50"/>
      <c r="M24" s="50"/>
      <c r="N24" s="51"/>
      <c r="O24" s="13">
        <v>55259</v>
      </c>
      <c r="P24" s="37">
        <f t="shared" si="1"/>
        <v>5.9209772039323889</v>
      </c>
      <c r="Q24" s="37">
        <f>O24/567876*100</f>
        <v>9.7308215173735118</v>
      </c>
      <c r="S24" s="63" t="s">
        <v>16</v>
      </c>
      <c r="T24" s="50"/>
      <c r="U24" s="51"/>
      <c r="V24" s="16">
        <v>48884</v>
      </c>
      <c r="W24" s="41">
        <f t="shared" si="0"/>
        <v>8.583941195683094</v>
      </c>
      <c r="X24" s="41">
        <f>V24/503599*100</f>
        <v>9.7069295213056428</v>
      </c>
      <c r="Y24" s="9"/>
    </row>
    <row r="25" spans="2:25" ht="16.5" customHeight="1">
      <c r="B25" s="9"/>
      <c r="C25" s="9"/>
      <c r="J25" s="49" t="s">
        <v>17</v>
      </c>
      <c r="K25" s="50"/>
      <c r="L25" s="50"/>
      <c r="M25" s="50"/>
      <c r="N25" s="51"/>
      <c r="O25" s="13">
        <v>27219</v>
      </c>
      <c r="P25" s="37">
        <f t="shared" si="1"/>
        <v>2.9165037100533069</v>
      </c>
      <c r="Q25" s="37">
        <f>O25/221609*100</f>
        <v>12.28244340256939</v>
      </c>
      <c r="S25" s="63" t="s">
        <v>17</v>
      </c>
      <c r="T25" s="50"/>
      <c r="U25" s="51"/>
      <c r="V25" s="16">
        <v>16963</v>
      </c>
      <c r="W25" s="41">
        <f t="shared" si="0"/>
        <v>2.9786718456421801</v>
      </c>
      <c r="X25" s="41">
        <f>V25/139010*100</f>
        <v>12.202719228832457</v>
      </c>
      <c r="Y25" s="9"/>
    </row>
    <row r="26" spans="2:25" ht="16.5" customHeight="1">
      <c r="B26" s="9"/>
      <c r="C26" s="9"/>
      <c r="J26" s="76" t="s">
        <v>70</v>
      </c>
      <c r="K26" s="77"/>
      <c r="L26" s="77"/>
      <c r="M26" s="77"/>
      <c r="N26" s="78"/>
      <c r="O26" s="39">
        <f>SUM(O8:O25)</f>
        <v>933275</v>
      </c>
      <c r="P26" s="40">
        <f>SUM(P8:P25)</f>
        <v>100.00000000000001</v>
      </c>
      <c r="Q26" s="40">
        <f>O26/6263608*100</f>
        <v>14.899958618099983</v>
      </c>
      <c r="S26" s="81" t="s">
        <v>70</v>
      </c>
      <c r="T26" s="77"/>
      <c r="U26" s="78"/>
      <c r="V26" s="42">
        <v>569482</v>
      </c>
      <c r="W26" s="43">
        <f>SUM(W8:W25)</f>
        <v>100.00000000000003</v>
      </c>
      <c r="X26" s="41">
        <f>V26/3885360*100</f>
        <v>14.657123149463628</v>
      </c>
      <c r="Y26" s="9"/>
    </row>
    <row r="27" spans="2:25" ht="13" customHeight="1">
      <c r="B27" s="9"/>
      <c r="C27" s="9"/>
      <c r="J27" s="76"/>
      <c r="K27" s="77"/>
      <c r="L27" s="77"/>
      <c r="M27" s="77"/>
      <c r="N27" s="78"/>
      <c r="O27" s="39"/>
      <c r="P27" s="40"/>
      <c r="Q27" s="40"/>
      <c r="S27" s="80"/>
      <c r="T27" s="77"/>
      <c r="U27" s="78"/>
      <c r="V27" s="14"/>
      <c r="W27" s="15"/>
      <c r="X27" s="15"/>
      <c r="Y27" s="9"/>
    </row>
    <row r="28" spans="2:25" ht="16.5" customHeight="1">
      <c r="B28" s="9"/>
      <c r="C28" s="9"/>
      <c r="J28" s="49" t="s">
        <v>19</v>
      </c>
      <c r="K28" s="50"/>
      <c r="L28" s="50"/>
      <c r="M28" s="50"/>
      <c r="N28" s="51"/>
      <c r="O28" s="13">
        <v>24794</v>
      </c>
      <c r="P28" s="13">
        <v>0</v>
      </c>
      <c r="Q28" s="37">
        <v>14.9</v>
      </c>
      <c r="S28" s="63" t="s">
        <v>19</v>
      </c>
      <c r="T28" s="50"/>
      <c r="U28" s="51"/>
      <c r="V28" s="16">
        <v>0</v>
      </c>
      <c r="W28" s="16">
        <v>0</v>
      </c>
      <c r="X28" s="16">
        <v>0</v>
      </c>
      <c r="Y28" s="9"/>
    </row>
    <row r="29" spans="2:25" ht="16.5" customHeight="1">
      <c r="B29" s="9"/>
      <c r="C29" s="9"/>
      <c r="J29" s="49" t="s">
        <v>20</v>
      </c>
      <c r="K29" s="50"/>
      <c r="L29" s="50"/>
      <c r="M29" s="50"/>
      <c r="N29" s="51"/>
      <c r="O29" s="13">
        <v>18441</v>
      </c>
      <c r="P29" s="13">
        <v>0</v>
      </c>
      <c r="Q29" s="37">
        <v>14.9</v>
      </c>
      <c r="S29" s="63" t="s">
        <v>20</v>
      </c>
      <c r="T29" s="50"/>
      <c r="U29" s="51"/>
      <c r="V29" s="16">
        <v>0</v>
      </c>
      <c r="W29" s="16">
        <v>0</v>
      </c>
      <c r="X29" s="16">
        <v>0</v>
      </c>
      <c r="Y29" s="9"/>
    </row>
    <row r="30" spans="2:25" ht="13" customHeight="1">
      <c r="B30" s="9"/>
      <c r="C30" s="9"/>
      <c r="J30" s="79"/>
      <c r="K30" s="77"/>
      <c r="L30" s="77"/>
      <c r="M30" s="77"/>
      <c r="N30" s="78"/>
      <c r="O30" s="13"/>
      <c r="P30" s="13"/>
      <c r="Q30" s="37"/>
      <c r="S30" s="80"/>
      <c r="T30" s="77"/>
      <c r="U30" s="78"/>
      <c r="V30" s="14"/>
      <c r="W30" s="15"/>
      <c r="X30" s="15"/>
      <c r="Y30" s="9"/>
    </row>
    <row r="31" spans="2:25" ht="16.5" customHeight="1">
      <c r="B31" s="9"/>
      <c r="C31" s="9"/>
      <c r="J31" s="76" t="s">
        <v>21</v>
      </c>
      <c r="K31" s="77"/>
      <c r="L31" s="77"/>
      <c r="M31" s="77"/>
      <c r="N31" s="78"/>
      <c r="O31" s="39">
        <v>939628</v>
      </c>
      <c r="P31" s="39">
        <v>0</v>
      </c>
      <c r="Q31" s="40">
        <v>14.9</v>
      </c>
      <c r="S31" s="81" t="s">
        <v>55</v>
      </c>
      <c r="T31" s="77"/>
      <c r="U31" s="78"/>
      <c r="V31" s="42">
        <v>569482</v>
      </c>
      <c r="W31" s="42">
        <v>0</v>
      </c>
      <c r="X31" s="43">
        <v>14.7</v>
      </c>
      <c r="Y31" s="9"/>
    </row>
    <row r="32" spans="2:25" ht="13" customHeight="1">
      <c r="B32" s="9"/>
      <c r="C32" s="9"/>
      <c r="J32" s="79"/>
      <c r="K32" s="77"/>
      <c r="L32" s="77"/>
      <c r="M32" s="77"/>
      <c r="N32" s="78"/>
      <c r="O32" s="13"/>
      <c r="P32" s="37"/>
      <c r="Q32" s="37"/>
      <c r="S32" s="80"/>
      <c r="T32" s="77"/>
      <c r="U32" s="78"/>
      <c r="V32" s="14"/>
      <c r="W32" s="15"/>
      <c r="X32" s="15"/>
      <c r="Y32" s="9"/>
    </row>
    <row r="33" spans="2:25" ht="15" customHeight="1">
      <c r="B33" s="9"/>
      <c r="C33" s="9"/>
      <c r="J33" s="49" t="s">
        <v>22</v>
      </c>
      <c r="K33" s="50"/>
      <c r="L33" s="50"/>
      <c r="M33" s="50"/>
      <c r="N33" s="51"/>
      <c r="O33" s="13"/>
      <c r="P33" s="37"/>
      <c r="Q33" s="37"/>
      <c r="S33" s="63" t="s">
        <v>22</v>
      </c>
      <c r="T33" s="50"/>
      <c r="U33" s="51"/>
      <c r="V33" s="14"/>
      <c r="W33" s="15"/>
      <c r="X33" s="15"/>
      <c r="Y33" s="9"/>
    </row>
    <row r="34" spans="2:25" ht="16.5" customHeight="1">
      <c r="B34" s="9"/>
      <c r="C34" s="9"/>
      <c r="J34" s="49" t="s">
        <v>23</v>
      </c>
      <c r="K34" s="50"/>
      <c r="L34" s="50"/>
      <c r="M34" s="50"/>
      <c r="N34" s="51"/>
      <c r="O34" s="13">
        <v>2697</v>
      </c>
      <c r="P34" s="37">
        <f>O34/(SUM($O$34:$O$36))*100</f>
        <v>0.28898234711098014</v>
      </c>
      <c r="Q34" s="37">
        <f>O34/43681*100</f>
        <v>6.1743091962180356</v>
      </c>
      <c r="S34" s="63" t="s">
        <v>23</v>
      </c>
      <c r="T34" s="50"/>
      <c r="U34" s="51"/>
      <c r="V34" s="16">
        <v>1927</v>
      </c>
      <c r="W34" s="41">
        <f>V34/(SUM($V$34:$V$36))*100</f>
        <v>0.33837768357911224</v>
      </c>
      <c r="X34" s="41">
        <f>O34/30989*100</f>
        <v>8.703088192584465</v>
      </c>
      <c r="Y34" s="9"/>
    </row>
    <row r="35" spans="2:25" ht="16.5" customHeight="1">
      <c r="B35" s="9"/>
      <c r="C35" s="9"/>
      <c r="J35" s="49" t="s">
        <v>24</v>
      </c>
      <c r="K35" s="50"/>
      <c r="L35" s="50"/>
      <c r="M35" s="50"/>
      <c r="N35" s="51"/>
      <c r="O35" s="13">
        <v>511698</v>
      </c>
      <c r="P35" s="37">
        <f t="shared" ref="P35:P36" si="2">O35/(SUM($O$34:$O$36))*100</f>
        <v>54.828212477565565</v>
      </c>
      <c r="Q35" s="37">
        <f>O35/2637352*100</f>
        <v>19.401960754575043</v>
      </c>
      <c r="S35" s="63" t="s">
        <v>24</v>
      </c>
      <c r="T35" s="50"/>
      <c r="U35" s="51"/>
      <c r="V35" s="16">
        <v>278368</v>
      </c>
      <c r="W35" s="41">
        <f>V35/(SUM($V$34:$V$36))*100</f>
        <v>48.880912829553871</v>
      </c>
      <c r="X35" s="41">
        <f>O35/1452097*100</f>
        <v>35.238555000113628</v>
      </c>
      <c r="Y35" s="9"/>
    </row>
    <row r="36" spans="2:25" ht="16.5" customHeight="1">
      <c r="B36" s="9"/>
      <c r="C36" s="9"/>
      <c r="J36" s="49" t="s">
        <v>25</v>
      </c>
      <c r="K36" s="50"/>
      <c r="L36" s="50"/>
      <c r="M36" s="50"/>
      <c r="N36" s="51"/>
      <c r="O36" s="13">
        <v>418880</v>
      </c>
      <c r="P36" s="37">
        <f t="shared" si="2"/>
        <v>44.882805175323462</v>
      </c>
      <c r="Q36" s="37">
        <f>O36/3582575*100</f>
        <v>11.692148803584015</v>
      </c>
      <c r="S36" s="63" t="s">
        <v>25</v>
      </c>
      <c r="T36" s="50"/>
      <c r="U36" s="51"/>
      <c r="V36" s="16">
        <v>289187</v>
      </c>
      <c r="W36" s="41">
        <f t="shared" ref="W36" si="3">V36/(SUM($V$34:$V$36))*100</f>
        <v>50.780709486867018</v>
      </c>
      <c r="X36" s="41">
        <f>O36/2402274*100</f>
        <v>17.436811954006913</v>
      </c>
      <c r="Y36" s="9"/>
    </row>
    <row r="37" spans="2:25" ht="13" customHeight="1" thickBot="1">
      <c r="B37" s="9"/>
      <c r="C37" s="9"/>
      <c r="J37" s="73"/>
      <c r="K37" s="74"/>
      <c r="L37" s="74"/>
      <c r="M37" s="74"/>
      <c r="N37" s="75"/>
      <c r="O37" s="10"/>
      <c r="P37" s="10"/>
      <c r="Q37" s="10"/>
      <c r="S37" s="73"/>
      <c r="T37" s="74"/>
      <c r="U37" s="75"/>
      <c r="V37" s="12"/>
      <c r="W37" s="10"/>
      <c r="X37" s="10"/>
      <c r="Y37" s="9"/>
    </row>
    <row r="38" spans="2:25" ht="16.5" customHeight="1" thickTop="1">
      <c r="J38" s="5" t="s">
        <v>18</v>
      </c>
      <c r="K38" s="5"/>
      <c r="R38" s="3"/>
      <c r="S38" s="5" t="s">
        <v>26</v>
      </c>
      <c r="T38" s="5"/>
      <c r="U38" s="5"/>
    </row>
    <row r="39" spans="2:25" ht="13" customHeight="1">
      <c r="B39" s="5"/>
      <c r="I39" s="3"/>
      <c r="J39" s="3"/>
      <c r="M39" s="5"/>
    </row>
    <row r="40" spans="2:25" ht="15" customHeight="1">
      <c r="B40" s="6" t="s">
        <v>91</v>
      </c>
      <c r="C40" s="6"/>
      <c r="H40" s="3"/>
      <c r="I40" s="3"/>
      <c r="J40" s="3"/>
      <c r="K40" s="3"/>
      <c r="L40" s="3"/>
      <c r="N40" s="6" t="s">
        <v>92</v>
      </c>
      <c r="S40" s="6"/>
    </row>
    <row r="41" spans="2:25" ht="12" customHeight="1" thickBot="1">
      <c r="B41" s="6"/>
      <c r="C41" s="6"/>
      <c r="D41" s="3"/>
      <c r="G41" s="3"/>
      <c r="H41" s="3" t="s">
        <v>89</v>
      </c>
      <c r="J41" s="3"/>
      <c r="K41" s="3"/>
      <c r="L41" s="3"/>
      <c r="R41" s="6"/>
      <c r="S41" s="6"/>
      <c r="T41" s="3"/>
      <c r="V41" s="3" t="s">
        <v>89</v>
      </c>
      <c r="W41" s="3"/>
    </row>
    <row r="42" spans="2:25" ht="15" customHeight="1" thickTop="1">
      <c r="B42" s="55" t="s">
        <v>27</v>
      </c>
      <c r="C42" s="55"/>
      <c r="D42" s="55"/>
      <c r="E42" s="56"/>
      <c r="F42" s="7" t="s">
        <v>51</v>
      </c>
      <c r="G42" s="8" t="s">
        <v>52</v>
      </c>
      <c r="H42" s="7" t="s">
        <v>53</v>
      </c>
      <c r="K42" s="3"/>
      <c r="L42" s="3"/>
      <c r="N42" s="55" t="s">
        <v>27</v>
      </c>
      <c r="O42" s="55"/>
      <c r="P42" s="55"/>
      <c r="Q42" s="55"/>
      <c r="R42" s="55"/>
      <c r="S42" s="20"/>
      <c r="T42" s="20" t="s">
        <v>56</v>
      </c>
      <c r="U42" s="8" t="s">
        <v>62</v>
      </c>
      <c r="V42" s="7" t="s">
        <v>63</v>
      </c>
      <c r="W42" s="25"/>
    </row>
    <row r="43" spans="2:25" ht="13" customHeight="1">
      <c r="B43" s="71"/>
      <c r="C43" s="71"/>
      <c r="D43" s="71"/>
      <c r="E43" s="72"/>
      <c r="N43" s="66"/>
      <c r="O43" s="66"/>
      <c r="P43" s="66"/>
      <c r="Q43" s="66"/>
      <c r="R43" s="66"/>
      <c r="S43" s="21"/>
      <c r="T43" s="17"/>
      <c r="U43" s="13"/>
      <c r="V43" s="13"/>
      <c r="W43" s="13"/>
    </row>
    <row r="44" spans="2:25" ht="16.5" customHeight="1">
      <c r="B44" s="64" t="s">
        <v>28</v>
      </c>
      <c r="C44" s="64"/>
      <c r="D44" s="64"/>
      <c r="E44" s="64"/>
      <c r="F44" s="13">
        <v>297131</v>
      </c>
      <c r="G44" s="44">
        <f>F44/$F$63*100</f>
        <v>54.300355081058257</v>
      </c>
      <c r="H44" s="44">
        <f>F44/2581175*100</f>
        <v>11.511462802793302</v>
      </c>
      <c r="N44" s="63" t="s">
        <v>48</v>
      </c>
      <c r="O44" s="63"/>
      <c r="P44" s="63"/>
      <c r="Q44" s="63"/>
      <c r="R44" s="63"/>
      <c r="S44" s="22" t="s">
        <v>57</v>
      </c>
      <c r="T44" s="13">
        <v>134757</v>
      </c>
      <c r="U44" s="19">
        <v>10.3</v>
      </c>
      <c r="V44" s="24" t="s">
        <v>69</v>
      </c>
      <c r="W44" s="24"/>
    </row>
    <row r="45" spans="2:25" ht="16.5" customHeight="1">
      <c r="B45" s="65" t="s">
        <v>29</v>
      </c>
      <c r="C45" s="65"/>
      <c r="D45" s="65"/>
      <c r="E45" s="65"/>
      <c r="F45" s="13">
        <v>252374</v>
      </c>
      <c r="G45" s="44">
        <f t="shared" ref="G45:G62" si="4">F45/$F$63*100</f>
        <v>46.121063817733585</v>
      </c>
      <c r="H45" s="44">
        <f>F45/2181432*100</f>
        <v>11.569189413192801</v>
      </c>
      <c r="N45" s="63" t="s">
        <v>49</v>
      </c>
      <c r="O45" s="63"/>
      <c r="P45" s="63"/>
      <c r="Q45" s="63"/>
      <c r="R45" s="63"/>
      <c r="S45" s="22" t="s">
        <v>58</v>
      </c>
      <c r="T45" s="47">
        <v>656.29</v>
      </c>
      <c r="U45" s="19">
        <v>10.7</v>
      </c>
      <c r="V45" s="24" t="s">
        <v>69</v>
      </c>
      <c r="W45" s="24"/>
    </row>
    <row r="46" spans="2:25" ht="16.5" customHeight="1">
      <c r="B46" s="65" t="s">
        <v>30</v>
      </c>
      <c r="C46" s="65"/>
      <c r="D46" s="65"/>
      <c r="E46" s="65"/>
      <c r="F46" s="13">
        <v>44237</v>
      </c>
      <c r="G46" s="44">
        <f t="shared" si="4"/>
        <v>8.084261849893732</v>
      </c>
      <c r="H46" s="44">
        <f>F46/382216*100</f>
        <v>11.573822131988196</v>
      </c>
      <c r="N46" s="63" t="s">
        <v>64</v>
      </c>
      <c r="O46" s="63"/>
      <c r="P46" s="63"/>
      <c r="Q46" s="63"/>
      <c r="R46" s="63"/>
      <c r="S46" s="22" t="s">
        <v>57</v>
      </c>
      <c r="T46" s="13">
        <v>205</v>
      </c>
      <c r="U46" s="24" t="s">
        <v>69</v>
      </c>
      <c r="V46" s="24" t="s">
        <v>69</v>
      </c>
      <c r="W46" s="24"/>
    </row>
    <row r="47" spans="2:25" ht="16.5" customHeight="1">
      <c r="B47" s="65" t="s">
        <v>31</v>
      </c>
      <c r="C47" s="65"/>
      <c r="D47" s="65"/>
      <c r="E47" s="65"/>
      <c r="F47" s="13">
        <v>520</v>
      </c>
      <c r="G47" s="44">
        <f t="shared" si="4"/>
        <v>9.5029413430945606E-2</v>
      </c>
      <c r="H47" s="44">
        <f>F47/17527*100</f>
        <v>2.9668511439493352</v>
      </c>
      <c r="N47" s="63" t="s">
        <v>65</v>
      </c>
      <c r="O47" s="63"/>
      <c r="P47" s="63"/>
      <c r="Q47" s="63"/>
      <c r="R47" s="63"/>
      <c r="S47" s="22" t="s">
        <v>59</v>
      </c>
      <c r="T47" s="13">
        <v>1432</v>
      </c>
      <c r="U47" s="24" t="s">
        <v>69</v>
      </c>
      <c r="V47" s="19">
        <v>138.80000000000001</v>
      </c>
      <c r="W47" s="19"/>
    </row>
    <row r="48" spans="2:25" ht="16.5" customHeight="1">
      <c r="B48" s="64" t="s">
        <v>32</v>
      </c>
      <c r="C48" s="64"/>
      <c r="D48" s="64"/>
      <c r="E48" s="64"/>
      <c r="F48" s="13">
        <v>27847</v>
      </c>
      <c r="G48" s="44">
        <f t="shared" si="4"/>
        <v>5.0890078380991195</v>
      </c>
      <c r="H48" s="44">
        <f>F48/280500*100</f>
        <v>9.9276292335115865</v>
      </c>
      <c r="N48" s="63" t="s">
        <v>50</v>
      </c>
      <c r="O48" s="63"/>
      <c r="P48" s="63"/>
      <c r="Q48" s="63"/>
      <c r="R48" s="63"/>
      <c r="S48" s="22" t="s">
        <v>60</v>
      </c>
      <c r="T48" s="13">
        <v>4061</v>
      </c>
      <c r="U48" s="24" t="s">
        <v>69</v>
      </c>
      <c r="V48" s="19">
        <v>132.30000000000001</v>
      </c>
      <c r="W48" s="19"/>
    </row>
    <row r="49" spans="2:23" ht="16.5" customHeight="1" thickBot="1">
      <c r="B49" s="65" t="s">
        <v>71</v>
      </c>
      <c r="C49" s="65"/>
      <c r="D49" s="65"/>
      <c r="E49" s="65"/>
      <c r="F49" s="13">
        <v>1467</v>
      </c>
      <c r="G49" s="44">
        <f t="shared" si="4"/>
        <v>0.26809259519845613</v>
      </c>
      <c r="H49" s="44">
        <f>F49/21481*100</f>
        <v>6.8292910013500299</v>
      </c>
      <c r="N49" s="69"/>
      <c r="O49" s="69"/>
      <c r="P49" s="69"/>
      <c r="Q49" s="69"/>
      <c r="R49" s="69"/>
      <c r="S49" s="23"/>
      <c r="T49" s="18"/>
      <c r="U49" s="18"/>
      <c r="V49" s="18"/>
      <c r="W49" s="13"/>
    </row>
    <row r="50" spans="2:23" ht="16.5" customHeight="1" thickTop="1">
      <c r="B50" s="65" t="s">
        <v>33</v>
      </c>
      <c r="C50" s="65"/>
      <c r="D50" s="65"/>
      <c r="E50" s="65"/>
      <c r="F50" s="13">
        <v>26026</v>
      </c>
      <c r="G50" s="44">
        <f t="shared" si="4"/>
        <v>4.7562221422188271</v>
      </c>
      <c r="H50" s="44">
        <f>F50/251058*100</f>
        <v>10.366528849907192</v>
      </c>
      <c r="N50" s="5" t="s">
        <v>66</v>
      </c>
      <c r="O50" s="5"/>
      <c r="P50" s="5"/>
    </row>
    <row r="51" spans="2:23" ht="16.5" customHeight="1">
      <c r="B51" s="62" t="s">
        <v>35</v>
      </c>
      <c r="C51" s="62"/>
      <c r="D51" s="62"/>
      <c r="E51" s="62"/>
      <c r="F51" s="13">
        <v>6223</v>
      </c>
      <c r="G51" s="44">
        <f t="shared" si="4"/>
        <v>1.1372462303476432</v>
      </c>
      <c r="H51" s="44">
        <f>F51/60634*100</f>
        <v>10.263218656199493</v>
      </c>
      <c r="N51" s="5" t="s">
        <v>67</v>
      </c>
    </row>
    <row r="52" spans="2:23" ht="16.5" customHeight="1">
      <c r="B52" s="62" t="s">
        <v>34</v>
      </c>
      <c r="C52" s="62"/>
      <c r="D52" s="62"/>
      <c r="E52" s="62"/>
      <c r="F52" s="13">
        <v>4780</v>
      </c>
      <c r="G52" s="44">
        <f>F52/$F$63*100</f>
        <v>0.87353960807676923</v>
      </c>
      <c r="H52" s="44">
        <f>F52/46570*100</f>
        <v>10.264118531243289</v>
      </c>
      <c r="N52" s="5" t="s">
        <v>68</v>
      </c>
    </row>
    <row r="53" spans="2:23" ht="16.5" customHeight="1">
      <c r="B53" s="62" t="s">
        <v>36</v>
      </c>
      <c r="C53" s="62"/>
      <c r="D53" s="62"/>
      <c r="E53" s="62"/>
      <c r="F53" s="13">
        <v>9647</v>
      </c>
      <c r="G53" s="44">
        <f t="shared" si="4"/>
        <v>1.7629783680160234</v>
      </c>
      <c r="H53" s="44">
        <f>F53/93988*100</f>
        <v>10.264076265055113</v>
      </c>
      <c r="N53" s="5" t="s">
        <v>61</v>
      </c>
    </row>
    <row r="54" spans="2:23" ht="16.5" customHeight="1">
      <c r="B54" s="62" t="s">
        <v>37</v>
      </c>
      <c r="C54" s="62"/>
      <c r="D54" s="62"/>
      <c r="E54" s="62"/>
      <c r="F54" s="13">
        <v>5376</v>
      </c>
      <c r="G54" s="44">
        <f t="shared" si="4"/>
        <v>0.98245793577839136</v>
      </c>
      <c r="H54" s="44">
        <f>F54/52866*100</f>
        <v>10.169106798320282</v>
      </c>
    </row>
    <row r="55" spans="2:23" ht="16.5" customHeight="1">
      <c r="B55" s="65" t="s">
        <v>38</v>
      </c>
      <c r="C55" s="65"/>
      <c r="D55" s="65"/>
      <c r="E55" s="65"/>
      <c r="F55" s="13">
        <v>354</v>
      </c>
      <c r="G55" s="44">
        <f t="shared" si="4"/>
        <v>6.4693100681836049E-2</v>
      </c>
      <c r="H55" s="44">
        <f>F55/4961*100</f>
        <v>7.1356581334408391</v>
      </c>
    </row>
    <row r="56" spans="2:23" ht="16.5" customHeight="1">
      <c r="B56" s="64" t="s">
        <v>47</v>
      </c>
      <c r="C56" s="64"/>
      <c r="D56" s="64"/>
      <c r="E56" s="64"/>
      <c r="F56" s="13">
        <v>222221</v>
      </c>
      <c r="G56" s="44">
        <f t="shared" si="4"/>
        <v>40.610637080842622</v>
      </c>
      <c r="H56" s="44">
        <f>F56/1167508*100</f>
        <v>19.033788205305662</v>
      </c>
    </row>
    <row r="57" spans="2:23" ht="16.5" customHeight="1">
      <c r="B57" s="65" t="s">
        <v>39</v>
      </c>
      <c r="C57" s="65"/>
      <c r="D57" s="65"/>
      <c r="E57" s="65"/>
      <c r="F57" s="13">
        <v>161826</v>
      </c>
      <c r="G57" s="44">
        <f t="shared" si="4"/>
        <v>29.573518957454237</v>
      </c>
      <c r="H57" s="44">
        <f>F57/789579*100</f>
        <v>20.495225936860024</v>
      </c>
    </row>
    <row r="58" spans="2:23" ht="14" customHeight="1">
      <c r="B58" s="65" t="s">
        <v>40</v>
      </c>
      <c r="C58" s="65"/>
      <c r="D58" s="65"/>
      <c r="E58" s="65"/>
      <c r="F58" s="13">
        <v>29065</v>
      </c>
      <c r="G58" s="44">
        <f t="shared" si="4"/>
        <v>5.311595964173911</v>
      </c>
      <c r="H58" s="44">
        <f>F58/77841*100</f>
        <v>37.338934494675044</v>
      </c>
    </row>
    <row r="59" spans="2:23" ht="16.5" customHeight="1">
      <c r="B59" s="65" t="s">
        <v>41</v>
      </c>
      <c r="C59" s="65"/>
      <c r="D59" s="65"/>
      <c r="E59" s="65"/>
      <c r="F59" s="13">
        <v>31330</v>
      </c>
      <c r="G59" s="44">
        <f t="shared" si="4"/>
        <v>5.7255221592144725</v>
      </c>
      <c r="H59" s="44">
        <f>F59/300088*100</f>
        <v>10.440270853882861</v>
      </c>
    </row>
    <row r="60" spans="2:23" ht="16.5" customHeight="1">
      <c r="B60" s="62" t="s">
        <v>42</v>
      </c>
      <c r="C60" s="62"/>
      <c r="D60" s="62"/>
      <c r="E60" s="62"/>
      <c r="F60" s="45">
        <v>33</v>
      </c>
      <c r="G60" s="44">
        <f t="shared" si="4"/>
        <v>6.0307127754253937E-3</v>
      </c>
      <c r="H60" s="44">
        <f>F60/327*100</f>
        <v>10.091743119266056</v>
      </c>
    </row>
    <row r="61" spans="2:23" ht="16.5" customHeight="1">
      <c r="B61" s="62" t="s">
        <v>43</v>
      </c>
      <c r="C61" s="62"/>
      <c r="D61" s="62"/>
      <c r="E61" s="62"/>
      <c r="F61" s="13">
        <v>12189</v>
      </c>
      <c r="G61" s="44">
        <f t="shared" si="4"/>
        <v>2.2275260005957613</v>
      </c>
      <c r="H61" s="44">
        <f>F61/123519*100</f>
        <v>9.8681174556141151</v>
      </c>
    </row>
    <row r="62" spans="2:23" ht="16.5" customHeight="1">
      <c r="B62" s="62" t="s">
        <v>44</v>
      </c>
      <c r="C62" s="62"/>
      <c r="D62" s="62"/>
      <c r="E62" s="62"/>
      <c r="F62" s="13">
        <v>19108</v>
      </c>
      <c r="G62" s="44">
        <f t="shared" si="4"/>
        <v>3.4919654458432854</v>
      </c>
      <c r="H62" s="44">
        <f>F62/176242*100</f>
        <v>10.841910554805324</v>
      </c>
    </row>
    <row r="63" spans="2:23" ht="16.5" customHeight="1">
      <c r="B63" s="70" t="s">
        <v>45</v>
      </c>
      <c r="C63" s="70"/>
      <c r="D63" s="70"/>
      <c r="E63" s="70"/>
      <c r="F63" s="39">
        <v>547199</v>
      </c>
      <c r="G63" s="46">
        <v>100</v>
      </c>
      <c r="H63" s="46">
        <f>F63/4029183*100</f>
        <v>13.580892205690335</v>
      </c>
    </row>
    <row r="64" spans="2:23" ht="12" customHeight="1" thickBot="1">
      <c r="B64" s="67"/>
      <c r="C64" s="67"/>
      <c r="D64" s="67"/>
      <c r="E64" s="68"/>
      <c r="F64" s="10"/>
      <c r="G64" s="10"/>
      <c r="H64" s="10"/>
    </row>
    <row r="65" spans="2:3" ht="16.5" customHeight="1" thickTop="1">
      <c r="B65" s="5" t="s">
        <v>46</v>
      </c>
      <c r="C65" s="5"/>
    </row>
  </sheetData>
  <mergeCells count="100">
    <mergeCell ref="S6:U6"/>
    <mergeCell ref="S34:U34"/>
    <mergeCell ref="S35:U35"/>
    <mergeCell ref="S36:U36"/>
    <mergeCell ref="S37:U37"/>
    <mergeCell ref="S7:U7"/>
    <mergeCell ref="S8:U8"/>
    <mergeCell ref="S9:U9"/>
    <mergeCell ref="S10:U10"/>
    <mergeCell ref="S11:U11"/>
    <mergeCell ref="S12:U12"/>
    <mergeCell ref="S13:U13"/>
    <mergeCell ref="S15:U15"/>
    <mergeCell ref="S14:U14"/>
    <mergeCell ref="S16:U16"/>
    <mergeCell ref="S17:U17"/>
    <mergeCell ref="S18:U18"/>
    <mergeCell ref="S31:U31"/>
    <mergeCell ref="J13:N13"/>
    <mergeCell ref="J33:N33"/>
    <mergeCell ref="J31:N31"/>
    <mergeCell ref="J32:N32"/>
    <mergeCell ref="S32:U32"/>
    <mergeCell ref="S33:U33"/>
    <mergeCell ref="S19:U19"/>
    <mergeCell ref="S20:U20"/>
    <mergeCell ref="S21:U21"/>
    <mergeCell ref="S22:U22"/>
    <mergeCell ref="S23:U23"/>
    <mergeCell ref="S24:U24"/>
    <mergeCell ref="S25:U25"/>
    <mergeCell ref="S26:U26"/>
    <mergeCell ref="J27:N27"/>
    <mergeCell ref="J28:N28"/>
    <mergeCell ref="J29:N29"/>
    <mergeCell ref="J30:N30"/>
    <mergeCell ref="S27:U27"/>
    <mergeCell ref="S28:U28"/>
    <mergeCell ref="S29:U29"/>
    <mergeCell ref="S30:U30"/>
    <mergeCell ref="J23:N23"/>
    <mergeCell ref="J22:N22"/>
    <mergeCell ref="J24:N24"/>
    <mergeCell ref="J25:N25"/>
    <mergeCell ref="J26:N26"/>
    <mergeCell ref="N47:R47"/>
    <mergeCell ref="B44:E44"/>
    <mergeCell ref="B43:E43"/>
    <mergeCell ref="J34:N34"/>
    <mergeCell ref="J35:N35"/>
    <mergeCell ref="J36:N36"/>
    <mergeCell ref="J37:N37"/>
    <mergeCell ref="B64:E64"/>
    <mergeCell ref="B45:E45"/>
    <mergeCell ref="B46:E46"/>
    <mergeCell ref="B47:E47"/>
    <mergeCell ref="N49:R49"/>
    <mergeCell ref="B63:E63"/>
    <mergeCell ref="B56:E56"/>
    <mergeCell ref="B57:E57"/>
    <mergeCell ref="B58:E58"/>
    <mergeCell ref="B59:E59"/>
    <mergeCell ref="B60:E60"/>
    <mergeCell ref="B61:E61"/>
    <mergeCell ref="B52:E52"/>
    <mergeCell ref="B53:E53"/>
    <mergeCell ref="B54:E54"/>
    <mergeCell ref="B55:E55"/>
    <mergeCell ref="J18:N18"/>
    <mergeCell ref="J19:N19"/>
    <mergeCell ref="J20:N20"/>
    <mergeCell ref="J21:N21"/>
    <mergeCell ref="B62:E62"/>
    <mergeCell ref="N48:R48"/>
    <mergeCell ref="B42:E42"/>
    <mergeCell ref="B48:E48"/>
    <mergeCell ref="B49:E49"/>
    <mergeCell ref="B50:E50"/>
    <mergeCell ref="B51:E51"/>
    <mergeCell ref="N42:R42"/>
    <mergeCell ref="N43:R43"/>
    <mergeCell ref="N44:R44"/>
    <mergeCell ref="N45:R45"/>
    <mergeCell ref="N46:R46"/>
    <mergeCell ref="B2:M2"/>
    <mergeCell ref="J14:N14"/>
    <mergeCell ref="J15:N15"/>
    <mergeCell ref="J16:N16"/>
    <mergeCell ref="J17:N17"/>
    <mergeCell ref="J7:N7"/>
    <mergeCell ref="J6:N6"/>
    <mergeCell ref="B6:B7"/>
    <mergeCell ref="C6:D6"/>
    <mergeCell ref="E6:F6"/>
    <mergeCell ref="G6:H6"/>
    <mergeCell ref="J8:N8"/>
    <mergeCell ref="J9:N9"/>
    <mergeCell ref="J10:N10"/>
    <mergeCell ref="J11:N11"/>
    <mergeCell ref="J12:N12"/>
  </mergeCells>
  <phoneticPr fontId="1"/>
  <pageMargins left="0" right="0" top="0" bottom="0.39370078740157483" header="0" footer="0.19685039370078741"/>
  <pageSetup paperSize="9" scale="75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109~113</vt:lpstr>
      <vt:lpstr>'109~113'!Print_Area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PC200121</dc:creator>
  <cp:lastModifiedBy>坂東　雅美</cp:lastModifiedBy>
  <cp:lastPrinted>2026-03-26T06:00:11Z</cp:lastPrinted>
  <dcterms:created xsi:type="dcterms:W3CDTF">2015-06-05T18:19:34Z</dcterms:created>
  <dcterms:modified xsi:type="dcterms:W3CDTF">2026-04-01T05:27:48Z</dcterms:modified>
</cp:coreProperties>
</file>